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ttps://d.docs.live.net/7bc913969060d700/BOOK UPDATED/"/>
    </mc:Choice>
  </mc:AlternateContent>
  <xr:revisionPtr revIDLastSave="110" documentId="13_ncr:1_{441F923F-CD13-44D6-9990-16142A37AD0B}" xr6:coauthVersionLast="45" xr6:coauthVersionMax="45" xr10:uidLastSave="{8CEEFBB5-3264-4204-A5BA-B13126B2DC3F}"/>
  <bookViews>
    <workbookView xWindow="-120" yWindow="-120" windowWidth="20730" windowHeight="11160" tabRatio="714" firstSheet="6" activeTab="9" xr2:uid="{00000000-000D-0000-FFFF-FFFF00000000}"/>
  </bookViews>
  <sheets>
    <sheet name="Table 6.1" sheetId="1" r:id="rId1"/>
    <sheet name="Table 6.2" sheetId="2" r:id="rId2"/>
    <sheet name="Table 6.7" sheetId="3" r:id="rId3"/>
    <sheet name="Table 6.9" sheetId="4" r:id="rId4"/>
    <sheet name="Table  6.13" sheetId="5" r:id="rId5"/>
    <sheet name="Table 6.14" sheetId="6" r:id="rId6"/>
    <sheet name="Table  6.16" sheetId="7" r:id="rId7"/>
    <sheet name="Table  6.17" sheetId="8" r:id="rId8"/>
    <sheet name="Table  6.18" sheetId="9" r:id="rId9"/>
    <sheet name="Example 6.23" sheetId="11" r:id="rId10"/>
    <sheet name="EFFICIENT FRONTIER" sheetId="10" r:id="rId11"/>
  </sheets>
  <definedNames>
    <definedName name="solver_adj" localSheetId="10" hidden="1">'EFFICIENT FRONTIER'!$K$12:$K$14</definedName>
    <definedName name="solver_adj" localSheetId="9" hidden="1">'Example 6.23'!$E$25:$E$28</definedName>
    <definedName name="solver_cvg" localSheetId="10" hidden="1">0.0001</definedName>
    <definedName name="solver_cvg" localSheetId="9" hidden="1">0.0001</definedName>
    <definedName name="solver_drv" localSheetId="10" hidden="1">1</definedName>
    <definedName name="solver_drv" localSheetId="9" hidden="1">1</definedName>
    <definedName name="solver_eng" localSheetId="10" hidden="1">1</definedName>
    <definedName name="solver_eng" localSheetId="9" hidden="1">1</definedName>
    <definedName name="solver_est" localSheetId="10" hidden="1">1</definedName>
    <definedName name="solver_est" localSheetId="9" hidden="1">1</definedName>
    <definedName name="solver_itr" localSheetId="10" hidden="1">2147483647</definedName>
    <definedName name="solver_itr" localSheetId="9" hidden="1">2147483647</definedName>
    <definedName name="solver_lhs1" localSheetId="10" hidden="1">'EFFICIENT FRONTIER'!$K$15</definedName>
    <definedName name="solver_lhs1" localSheetId="9" hidden="1">'Example 6.23'!$E$29</definedName>
    <definedName name="solver_lhs2" localSheetId="10" hidden="1">'EFFICIENT FRONTIER'!$K$20</definedName>
    <definedName name="solver_mip" localSheetId="10" hidden="1">2147483647</definedName>
    <definedName name="solver_mip" localSheetId="9" hidden="1">2147483647</definedName>
    <definedName name="solver_mni" localSheetId="10" hidden="1">30</definedName>
    <definedName name="solver_mni" localSheetId="9" hidden="1">30</definedName>
    <definedName name="solver_mrt" localSheetId="10" hidden="1">0.075</definedName>
    <definedName name="solver_mrt" localSheetId="9" hidden="1">0.075</definedName>
    <definedName name="solver_msl" localSheetId="10" hidden="1">2</definedName>
    <definedName name="solver_msl" localSheetId="9" hidden="1">2</definedName>
    <definedName name="solver_neg" localSheetId="10" hidden="1">1</definedName>
    <definedName name="solver_neg" localSheetId="9" hidden="1">1</definedName>
    <definedName name="solver_nod" localSheetId="10" hidden="1">2147483647</definedName>
    <definedName name="solver_nod" localSheetId="9" hidden="1">2147483647</definedName>
    <definedName name="solver_num" localSheetId="10" hidden="1">1</definedName>
    <definedName name="solver_num" localSheetId="9" hidden="1">1</definedName>
    <definedName name="solver_nwt" localSheetId="10" hidden="1">1</definedName>
    <definedName name="solver_nwt" localSheetId="9" hidden="1">1</definedName>
    <definedName name="solver_opt" localSheetId="10" hidden="1">'EFFICIENT FRONTIER'!$R$19</definedName>
    <definedName name="solver_opt" localSheetId="9" hidden="1">'Example 6.23'!$E$35</definedName>
    <definedName name="solver_pre" localSheetId="10" hidden="1">0.000001</definedName>
    <definedName name="solver_pre" localSheetId="9" hidden="1">0.000001</definedName>
    <definedName name="solver_rbv" localSheetId="10" hidden="1">1</definedName>
    <definedName name="solver_rbv" localSheetId="9" hidden="1">1</definedName>
    <definedName name="solver_rel1" localSheetId="10" hidden="1">2</definedName>
    <definedName name="solver_rel1" localSheetId="9" hidden="1">2</definedName>
    <definedName name="solver_rel2" localSheetId="10" hidden="1">2</definedName>
    <definedName name="solver_rhs1" localSheetId="10" hidden="1">1</definedName>
    <definedName name="solver_rhs1" localSheetId="9" hidden="1">1</definedName>
    <definedName name="solver_rhs2" localSheetId="10" hidden="1">'EFFICIENT FRONTIER'!$K$59</definedName>
    <definedName name="solver_rlx" localSheetId="10" hidden="1">2</definedName>
    <definedName name="solver_rlx" localSheetId="9" hidden="1">2</definedName>
    <definedName name="solver_rsd" localSheetId="10" hidden="1">0</definedName>
    <definedName name="solver_rsd" localSheetId="9" hidden="1">0</definedName>
    <definedName name="solver_scl" localSheetId="10" hidden="1">1</definedName>
    <definedName name="solver_scl" localSheetId="9" hidden="1">1</definedName>
    <definedName name="solver_sho" localSheetId="10" hidden="1">2</definedName>
    <definedName name="solver_sho" localSheetId="9" hidden="1">2</definedName>
    <definedName name="solver_ssz" localSheetId="10" hidden="1">100</definedName>
    <definedName name="solver_ssz" localSheetId="9" hidden="1">100</definedName>
    <definedName name="solver_tim" localSheetId="10" hidden="1">2147483647</definedName>
    <definedName name="solver_tim" localSheetId="9" hidden="1">2147483647</definedName>
    <definedName name="solver_tol" localSheetId="10" hidden="1">0.01</definedName>
    <definedName name="solver_tol" localSheetId="9" hidden="1">0.01</definedName>
    <definedName name="solver_typ" localSheetId="10" hidden="1">1</definedName>
    <definedName name="solver_typ" localSheetId="9" hidden="1">1</definedName>
    <definedName name="solver_val" localSheetId="10" hidden="1">0</definedName>
    <definedName name="solver_val" localSheetId="9" hidden="1">0</definedName>
    <definedName name="solver_ver" localSheetId="10" hidden="1">3</definedName>
    <definedName name="solver_ver" localSheetId="9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" l="1"/>
  <c r="E34" i="7"/>
  <c r="R26" i="10" l="1"/>
  <c r="R27" i="10" s="1"/>
  <c r="R28" i="10" s="1"/>
  <c r="R29" i="10" s="1"/>
  <c r="R30" i="10" s="1"/>
  <c r="R31" i="10" s="1"/>
  <c r="R32" i="10" s="1"/>
  <c r="R33" i="10" s="1"/>
  <c r="Q24" i="10"/>
  <c r="D6" i="11" l="1"/>
  <c r="C6" i="11"/>
  <c r="C5" i="11"/>
  <c r="B6" i="11"/>
  <c r="B5" i="11"/>
  <c r="B4" i="11"/>
  <c r="E32" i="11" l="1"/>
  <c r="E29" i="11"/>
  <c r="B29" i="11"/>
  <c r="C22" i="11" a="1"/>
  <c r="C22" i="11" s="1"/>
  <c r="C21" i="11" a="1"/>
  <c r="D21" i="11" s="1"/>
  <c r="E17" i="11"/>
  <c r="D17" i="11"/>
  <c r="E16" i="11" s="1"/>
  <c r="C17" i="11"/>
  <c r="B17" i="11"/>
  <c r="D16" i="11"/>
  <c r="C16" i="11"/>
  <c r="D15" i="11" s="1"/>
  <c r="B16" i="11"/>
  <c r="D14" i="11" s="1"/>
  <c r="E15" i="11"/>
  <c r="C15" i="11"/>
  <c r="B15" i="11"/>
  <c r="C14" i="11" s="1"/>
  <c r="E14" i="11"/>
  <c r="B14" i="11"/>
  <c r="D22" i="11" l="1"/>
  <c r="E21" i="11"/>
  <c r="F22" i="11"/>
  <c r="F21" i="11"/>
  <c r="E22" i="11"/>
  <c r="C21" i="11"/>
  <c r="E33" i="11" l="1"/>
  <c r="E34" i="11" s="1"/>
  <c r="E35" i="11" s="1"/>
  <c r="B33" i="11"/>
  <c r="B34" i="11" s="1"/>
  <c r="B35" i="11" s="1"/>
  <c r="K56" i="10"/>
  <c r="K57" i="10" s="1"/>
  <c r="K58" i="10" s="1"/>
  <c r="K59" i="10" s="1"/>
  <c r="K25" i="10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G159" i="10" l="1"/>
  <c r="F159" i="10"/>
  <c r="E159" i="10"/>
  <c r="H159" i="10" s="1"/>
  <c r="G158" i="10"/>
  <c r="F158" i="10"/>
  <c r="E158" i="10"/>
  <c r="G157" i="10"/>
  <c r="F157" i="10"/>
  <c r="E157" i="10"/>
  <c r="G156" i="10"/>
  <c r="F156" i="10"/>
  <c r="E156" i="10"/>
  <c r="G155" i="10"/>
  <c r="F155" i="10"/>
  <c r="E155" i="10"/>
  <c r="G154" i="10"/>
  <c r="F154" i="10"/>
  <c r="E154" i="10"/>
  <c r="G153" i="10"/>
  <c r="F153" i="10"/>
  <c r="E153" i="10"/>
  <c r="G152" i="10"/>
  <c r="F152" i="10"/>
  <c r="E152" i="10"/>
  <c r="H152" i="10" s="1"/>
  <c r="G151" i="10"/>
  <c r="F151" i="10"/>
  <c r="E151" i="10"/>
  <c r="G150" i="10"/>
  <c r="F150" i="10"/>
  <c r="E150" i="10"/>
  <c r="G149" i="10"/>
  <c r="F149" i="10"/>
  <c r="E149" i="10"/>
  <c r="G148" i="10"/>
  <c r="F148" i="10"/>
  <c r="E148" i="10"/>
  <c r="H148" i="10" s="1"/>
  <c r="G147" i="10"/>
  <c r="F147" i="10"/>
  <c r="E147" i="10"/>
  <c r="G146" i="10"/>
  <c r="F146" i="10"/>
  <c r="E146" i="10"/>
  <c r="G145" i="10"/>
  <c r="F145" i="10"/>
  <c r="E145" i="10"/>
  <c r="G144" i="10"/>
  <c r="F144" i="10"/>
  <c r="E144" i="10"/>
  <c r="H144" i="10" s="1"/>
  <c r="G143" i="10"/>
  <c r="F143" i="10"/>
  <c r="E143" i="10"/>
  <c r="G142" i="10"/>
  <c r="F142" i="10"/>
  <c r="E142" i="10"/>
  <c r="G141" i="10"/>
  <c r="F141" i="10"/>
  <c r="E141" i="10"/>
  <c r="G140" i="10"/>
  <c r="F140" i="10"/>
  <c r="E140" i="10"/>
  <c r="H140" i="10" s="1"/>
  <c r="G139" i="10"/>
  <c r="F139" i="10"/>
  <c r="E139" i="10"/>
  <c r="G138" i="10"/>
  <c r="F138" i="10"/>
  <c r="E138" i="10"/>
  <c r="G137" i="10"/>
  <c r="F137" i="10"/>
  <c r="E137" i="10"/>
  <c r="G136" i="10"/>
  <c r="F136" i="10"/>
  <c r="E136" i="10"/>
  <c r="H136" i="10" s="1"/>
  <c r="G135" i="10"/>
  <c r="F135" i="10"/>
  <c r="E135" i="10"/>
  <c r="G134" i="10"/>
  <c r="F134" i="10"/>
  <c r="E134" i="10"/>
  <c r="G133" i="10"/>
  <c r="F133" i="10"/>
  <c r="E133" i="10"/>
  <c r="G132" i="10"/>
  <c r="F132" i="10"/>
  <c r="E132" i="10"/>
  <c r="H132" i="10" s="1"/>
  <c r="G131" i="10"/>
  <c r="F131" i="10"/>
  <c r="E131" i="10"/>
  <c r="G130" i="10"/>
  <c r="F130" i="10"/>
  <c r="E130" i="10"/>
  <c r="G129" i="10"/>
  <c r="F129" i="10"/>
  <c r="E129" i="10"/>
  <c r="G128" i="10"/>
  <c r="F128" i="10"/>
  <c r="E128" i="10"/>
  <c r="H128" i="10" s="1"/>
  <c r="G127" i="10"/>
  <c r="F127" i="10"/>
  <c r="E127" i="10"/>
  <c r="G126" i="10"/>
  <c r="F126" i="10"/>
  <c r="E126" i="10"/>
  <c r="G125" i="10"/>
  <c r="F125" i="10"/>
  <c r="E125" i="10"/>
  <c r="G124" i="10"/>
  <c r="F124" i="10"/>
  <c r="E124" i="10"/>
  <c r="H124" i="10" s="1"/>
  <c r="G123" i="10"/>
  <c r="F123" i="10"/>
  <c r="E123" i="10"/>
  <c r="G122" i="10"/>
  <c r="F122" i="10"/>
  <c r="E122" i="10"/>
  <c r="G121" i="10"/>
  <c r="F121" i="10"/>
  <c r="E121" i="10"/>
  <c r="G120" i="10"/>
  <c r="F120" i="10"/>
  <c r="E120" i="10"/>
  <c r="H120" i="10" s="1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H116" i="10" s="1"/>
  <c r="G115" i="10"/>
  <c r="F115" i="10"/>
  <c r="E115" i="10"/>
  <c r="G114" i="10"/>
  <c r="F114" i="10"/>
  <c r="E114" i="10"/>
  <c r="G113" i="10"/>
  <c r="F113" i="10"/>
  <c r="E113" i="10"/>
  <c r="G112" i="10"/>
  <c r="F112" i="10"/>
  <c r="E112" i="10"/>
  <c r="H112" i="10" s="1"/>
  <c r="G111" i="10"/>
  <c r="F111" i="10"/>
  <c r="E111" i="10"/>
  <c r="G110" i="10"/>
  <c r="F110" i="10"/>
  <c r="E110" i="10"/>
  <c r="G109" i="10"/>
  <c r="F109" i="10"/>
  <c r="E109" i="10"/>
  <c r="G108" i="10"/>
  <c r="F108" i="10"/>
  <c r="E108" i="10"/>
  <c r="H108" i="10" s="1"/>
  <c r="G107" i="10"/>
  <c r="F107" i="10"/>
  <c r="E107" i="10"/>
  <c r="G106" i="10"/>
  <c r="F106" i="10"/>
  <c r="E106" i="10"/>
  <c r="G105" i="10"/>
  <c r="F105" i="10"/>
  <c r="E105" i="10"/>
  <c r="G104" i="10"/>
  <c r="F104" i="10"/>
  <c r="E104" i="10"/>
  <c r="H104" i="10" s="1"/>
  <c r="G103" i="10"/>
  <c r="F103" i="10"/>
  <c r="E103" i="10"/>
  <c r="G102" i="10"/>
  <c r="F102" i="10"/>
  <c r="E102" i="10"/>
  <c r="G101" i="10"/>
  <c r="F101" i="10"/>
  <c r="E101" i="10"/>
  <c r="G100" i="10"/>
  <c r="F100" i="10"/>
  <c r="E100" i="10"/>
  <c r="H100" i="10" s="1"/>
  <c r="G99" i="10"/>
  <c r="F99" i="10"/>
  <c r="E99" i="10"/>
  <c r="G98" i="10"/>
  <c r="F98" i="10"/>
  <c r="E98" i="10"/>
  <c r="G97" i="10"/>
  <c r="F97" i="10"/>
  <c r="E97" i="10"/>
  <c r="G96" i="10"/>
  <c r="F96" i="10"/>
  <c r="E96" i="10"/>
  <c r="H96" i="10" s="1"/>
  <c r="G95" i="10"/>
  <c r="F95" i="10"/>
  <c r="E95" i="10"/>
  <c r="G94" i="10"/>
  <c r="F94" i="10"/>
  <c r="E94" i="10"/>
  <c r="G93" i="10"/>
  <c r="F93" i="10"/>
  <c r="E93" i="10"/>
  <c r="G92" i="10"/>
  <c r="F92" i="10"/>
  <c r="E92" i="10"/>
  <c r="H92" i="10" s="1"/>
  <c r="G91" i="10"/>
  <c r="F91" i="10"/>
  <c r="E91" i="10"/>
  <c r="G90" i="10"/>
  <c r="F90" i="10"/>
  <c r="E90" i="10"/>
  <c r="G89" i="10"/>
  <c r="F89" i="10"/>
  <c r="E89" i="10"/>
  <c r="G88" i="10"/>
  <c r="F88" i="10"/>
  <c r="E88" i="10"/>
  <c r="H88" i="10" s="1"/>
  <c r="G87" i="10"/>
  <c r="F87" i="10"/>
  <c r="E87" i="10"/>
  <c r="G86" i="10"/>
  <c r="F86" i="10"/>
  <c r="E86" i="10"/>
  <c r="G85" i="10"/>
  <c r="F85" i="10"/>
  <c r="E85" i="10"/>
  <c r="G84" i="10"/>
  <c r="F84" i="10"/>
  <c r="E84" i="10"/>
  <c r="H84" i="10" s="1"/>
  <c r="G83" i="10"/>
  <c r="F83" i="10"/>
  <c r="E83" i="10"/>
  <c r="G82" i="10"/>
  <c r="F82" i="10"/>
  <c r="E82" i="10"/>
  <c r="G81" i="10"/>
  <c r="F81" i="10"/>
  <c r="E81" i="10"/>
  <c r="G80" i="10"/>
  <c r="F80" i="10"/>
  <c r="E80" i="10"/>
  <c r="H80" i="10" s="1"/>
  <c r="G79" i="10"/>
  <c r="F79" i="10"/>
  <c r="E79" i="10"/>
  <c r="G78" i="10"/>
  <c r="F78" i="10"/>
  <c r="E78" i="10"/>
  <c r="G77" i="10"/>
  <c r="F77" i="10"/>
  <c r="E77" i="10"/>
  <c r="G76" i="10"/>
  <c r="F76" i="10"/>
  <c r="E76" i="10"/>
  <c r="H76" i="10" s="1"/>
  <c r="G75" i="10"/>
  <c r="F75" i="10"/>
  <c r="E75" i="10"/>
  <c r="H74" i="10"/>
  <c r="G74" i="10"/>
  <c r="F74" i="10"/>
  <c r="E74" i="10"/>
  <c r="H73" i="10"/>
  <c r="G73" i="10"/>
  <c r="F73" i="10"/>
  <c r="E73" i="10"/>
  <c r="H72" i="10"/>
  <c r="G72" i="10"/>
  <c r="F72" i="10"/>
  <c r="E72" i="10"/>
  <c r="H71" i="10"/>
  <c r="G71" i="10"/>
  <c r="F71" i="10"/>
  <c r="E71" i="10"/>
  <c r="H70" i="10"/>
  <c r="G70" i="10"/>
  <c r="F70" i="10"/>
  <c r="E70" i="10"/>
  <c r="H69" i="10"/>
  <c r="G69" i="10"/>
  <c r="F69" i="10"/>
  <c r="E69" i="10"/>
  <c r="H68" i="10"/>
  <c r="G68" i="10"/>
  <c r="F68" i="10"/>
  <c r="E68" i="10"/>
  <c r="H67" i="10"/>
  <c r="G67" i="10"/>
  <c r="F67" i="10"/>
  <c r="E67" i="10"/>
  <c r="H66" i="10"/>
  <c r="G66" i="10"/>
  <c r="F66" i="10"/>
  <c r="E66" i="10"/>
  <c r="H65" i="10"/>
  <c r="G65" i="10"/>
  <c r="F65" i="10"/>
  <c r="E65" i="10"/>
  <c r="H64" i="10"/>
  <c r="G64" i="10"/>
  <c r="F64" i="10"/>
  <c r="E64" i="10"/>
  <c r="H63" i="10"/>
  <c r="G63" i="10"/>
  <c r="F63" i="10"/>
  <c r="E63" i="10"/>
  <c r="H62" i="10"/>
  <c r="G62" i="10"/>
  <c r="F62" i="10"/>
  <c r="E62" i="10"/>
  <c r="H61" i="10"/>
  <c r="G61" i="10"/>
  <c r="F61" i="10"/>
  <c r="E61" i="10"/>
  <c r="H60" i="10"/>
  <c r="G60" i="10"/>
  <c r="F60" i="10"/>
  <c r="E60" i="10"/>
  <c r="H59" i="10"/>
  <c r="G59" i="10"/>
  <c r="F59" i="10"/>
  <c r="E59" i="10"/>
  <c r="H58" i="10"/>
  <c r="G58" i="10"/>
  <c r="F58" i="10"/>
  <c r="E58" i="10"/>
  <c r="H57" i="10"/>
  <c r="G57" i="10"/>
  <c r="F57" i="10"/>
  <c r="E57" i="10"/>
  <c r="H56" i="10"/>
  <c r="G56" i="10"/>
  <c r="F56" i="10"/>
  <c r="E56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H52" i="10"/>
  <c r="G52" i="10"/>
  <c r="F52" i="10"/>
  <c r="E52" i="10"/>
  <c r="H51" i="10"/>
  <c r="G51" i="10"/>
  <c r="F51" i="10"/>
  <c r="E51" i="10"/>
  <c r="H50" i="10"/>
  <c r="G50" i="10"/>
  <c r="F50" i="10"/>
  <c r="E50" i="10"/>
  <c r="H49" i="10"/>
  <c r="G49" i="10"/>
  <c r="F49" i="10"/>
  <c r="E49" i="10"/>
  <c r="H48" i="10"/>
  <c r="G48" i="10"/>
  <c r="F48" i="10"/>
  <c r="E48" i="10"/>
  <c r="H47" i="10"/>
  <c r="G47" i="10"/>
  <c r="F47" i="10"/>
  <c r="E47" i="10"/>
  <c r="H46" i="10"/>
  <c r="G46" i="10"/>
  <c r="F46" i="10"/>
  <c r="E46" i="10"/>
  <c r="H45" i="10"/>
  <c r="G45" i="10"/>
  <c r="F45" i="10"/>
  <c r="E45" i="10"/>
  <c r="H44" i="10"/>
  <c r="G44" i="10"/>
  <c r="F44" i="10"/>
  <c r="E44" i="10"/>
  <c r="H43" i="10"/>
  <c r="G43" i="10"/>
  <c r="F43" i="10"/>
  <c r="E43" i="10"/>
  <c r="H42" i="10"/>
  <c r="G42" i="10"/>
  <c r="F42" i="10"/>
  <c r="E42" i="10"/>
  <c r="H41" i="10"/>
  <c r="G41" i="10"/>
  <c r="F41" i="10"/>
  <c r="E41" i="10"/>
  <c r="H40" i="10"/>
  <c r="G40" i="10"/>
  <c r="F40" i="10"/>
  <c r="E40" i="10"/>
  <c r="H39" i="10"/>
  <c r="G39" i="10"/>
  <c r="F39" i="10"/>
  <c r="E39" i="10"/>
  <c r="H38" i="10"/>
  <c r="G38" i="10"/>
  <c r="F38" i="10"/>
  <c r="E38" i="10"/>
  <c r="H37" i="10"/>
  <c r="G37" i="10"/>
  <c r="F37" i="10"/>
  <c r="E37" i="10"/>
  <c r="H36" i="10"/>
  <c r="G36" i="10"/>
  <c r="F36" i="10"/>
  <c r="E36" i="10"/>
  <c r="H35" i="10"/>
  <c r="G35" i="10"/>
  <c r="F35" i="10"/>
  <c r="E35" i="10"/>
  <c r="H34" i="10"/>
  <c r="G34" i="10"/>
  <c r="F34" i="10"/>
  <c r="E34" i="10"/>
  <c r="H33" i="10"/>
  <c r="G33" i="10"/>
  <c r="F33" i="10"/>
  <c r="E33" i="10"/>
  <c r="H32" i="10"/>
  <c r="G32" i="10"/>
  <c r="F32" i="10"/>
  <c r="E32" i="10"/>
  <c r="H31" i="10"/>
  <c r="G31" i="10"/>
  <c r="F31" i="10"/>
  <c r="E31" i="10"/>
  <c r="H30" i="10"/>
  <c r="G30" i="10"/>
  <c r="F30" i="10"/>
  <c r="E30" i="10"/>
  <c r="H29" i="10"/>
  <c r="G29" i="10"/>
  <c r="F29" i="10"/>
  <c r="E29" i="10"/>
  <c r="H28" i="10"/>
  <c r="G28" i="10"/>
  <c r="F28" i="10"/>
  <c r="E28" i="10"/>
  <c r="H27" i="10"/>
  <c r="G27" i="10"/>
  <c r="F27" i="10"/>
  <c r="E27" i="10"/>
  <c r="H26" i="10"/>
  <c r="G26" i="10"/>
  <c r="F26" i="10"/>
  <c r="E26" i="10"/>
  <c r="H25" i="10"/>
  <c r="G25" i="10"/>
  <c r="F25" i="10"/>
  <c r="E25" i="10"/>
  <c r="H24" i="10"/>
  <c r="G24" i="10"/>
  <c r="F24" i="10"/>
  <c r="E24" i="10"/>
  <c r="O23" i="10"/>
  <c r="N23" i="10"/>
  <c r="M23" i="10"/>
  <c r="G23" i="10"/>
  <c r="F23" i="10"/>
  <c r="E23" i="10"/>
  <c r="G22" i="10"/>
  <c r="F22" i="10"/>
  <c r="E22" i="10"/>
  <c r="H22" i="10" s="1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K15" i="10"/>
  <c r="G15" i="10"/>
  <c r="F15" i="10"/>
  <c r="E15" i="10"/>
  <c r="J14" i="10"/>
  <c r="G14" i="10"/>
  <c r="F14" i="10"/>
  <c r="E14" i="10"/>
  <c r="N13" i="10" a="1"/>
  <c r="P13" i="10" s="1"/>
  <c r="J13" i="10"/>
  <c r="G13" i="10"/>
  <c r="F13" i="10"/>
  <c r="E13" i="10"/>
  <c r="J12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H8" i="10" s="1"/>
  <c r="G7" i="10"/>
  <c r="F7" i="10"/>
  <c r="E7" i="10"/>
  <c r="G6" i="10"/>
  <c r="F6" i="10"/>
  <c r="E6" i="10"/>
  <c r="M5" i="10"/>
  <c r="G5" i="10"/>
  <c r="F5" i="10"/>
  <c r="E5" i="10"/>
  <c r="M4" i="10"/>
  <c r="L4" i="10"/>
  <c r="G4" i="10"/>
  <c r="F4" i="10"/>
  <c r="E4" i="10"/>
  <c r="M3" i="10"/>
  <c r="P12" i="10" s="1"/>
  <c r="L3" i="10"/>
  <c r="O12" i="10" s="1"/>
  <c r="K3" i="10"/>
  <c r="J4" i="10" s="1"/>
  <c r="G3" i="10"/>
  <c r="F3" i="10"/>
  <c r="E3" i="10"/>
  <c r="H3" i="10" l="1"/>
  <c r="K4" i="10"/>
  <c r="K9" i="10"/>
  <c r="L5" i="10"/>
  <c r="H17" i="10"/>
  <c r="H21" i="10"/>
  <c r="M6" i="10"/>
  <c r="H7" i="10"/>
  <c r="H14" i="10"/>
  <c r="H15" i="10"/>
  <c r="H6" i="10"/>
  <c r="H5" i="10"/>
  <c r="L9" i="10"/>
  <c r="H12" i="10"/>
  <c r="H13" i="10"/>
  <c r="H156" i="10"/>
  <c r="H4" i="10"/>
  <c r="J5" i="10"/>
  <c r="H11" i="10"/>
  <c r="H16" i="10"/>
  <c r="H20" i="10"/>
  <c r="H75" i="10"/>
  <c r="H79" i="10"/>
  <c r="H83" i="10"/>
  <c r="H87" i="10"/>
  <c r="H91" i="10"/>
  <c r="H95" i="10"/>
  <c r="H99" i="10"/>
  <c r="H103" i="10"/>
  <c r="H107" i="10"/>
  <c r="H111" i="10"/>
  <c r="H115" i="10"/>
  <c r="H119" i="10"/>
  <c r="H123" i="10"/>
  <c r="H127" i="10"/>
  <c r="H131" i="10"/>
  <c r="H135" i="10"/>
  <c r="H139" i="10"/>
  <c r="H143" i="10"/>
  <c r="H147" i="10"/>
  <c r="H151" i="10"/>
  <c r="H155" i="10"/>
  <c r="H9" i="10"/>
  <c r="H10" i="10"/>
  <c r="H19" i="10"/>
  <c r="H134" i="10"/>
  <c r="H138" i="10"/>
  <c r="H142" i="10"/>
  <c r="H146" i="10"/>
  <c r="H150" i="10"/>
  <c r="H154" i="10"/>
  <c r="H158" i="10"/>
  <c r="H18" i="10"/>
  <c r="H23" i="10"/>
  <c r="H133" i="10"/>
  <c r="H137" i="10"/>
  <c r="H141" i="10"/>
  <c r="H145" i="10"/>
  <c r="H149" i="10"/>
  <c r="H153" i="10"/>
  <c r="H157" i="10"/>
  <c r="N13" i="10"/>
  <c r="O13" i="10"/>
  <c r="H78" i="10"/>
  <c r="H82" i="10"/>
  <c r="H86" i="10"/>
  <c r="H90" i="10"/>
  <c r="H94" i="10"/>
  <c r="H98" i="10"/>
  <c r="H102" i="10"/>
  <c r="H106" i="10"/>
  <c r="H110" i="10"/>
  <c r="H114" i="10"/>
  <c r="H118" i="10"/>
  <c r="H122" i="10"/>
  <c r="H126" i="10"/>
  <c r="H130" i="10"/>
  <c r="J9" i="10"/>
  <c r="N12" i="10"/>
  <c r="J6" i="10"/>
  <c r="H77" i="10"/>
  <c r="H81" i="10"/>
  <c r="H85" i="10"/>
  <c r="H89" i="10"/>
  <c r="H93" i="10"/>
  <c r="H97" i="10"/>
  <c r="H101" i="10"/>
  <c r="H105" i="10"/>
  <c r="H109" i="10"/>
  <c r="H113" i="10"/>
  <c r="H117" i="10"/>
  <c r="H121" i="10"/>
  <c r="H125" i="10"/>
  <c r="H129" i="10"/>
  <c r="C33" i="9" a="1"/>
  <c r="C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9" i="9"/>
  <c r="E9" i="9" s="1"/>
  <c r="D8" i="9"/>
  <c r="E8" i="9" s="1"/>
  <c r="D7" i="9"/>
  <c r="E7" i="9" s="1"/>
  <c r="D6" i="9"/>
  <c r="E6" i="9" s="1"/>
  <c r="D5" i="9"/>
  <c r="E5" i="9" s="1"/>
  <c r="D4" i="9"/>
  <c r="E4" i="9" s="1"/>
  <c r="D3" i="9"/>
  <c r="E3" i="9" s="1"/>
  <c r="F32" i="8" a="1"/>
  <c r="F32" i="8" s="1"/>
  <c r="D32" i="8"/>
  <c r="F31" i="8" a="1"/>
  <c r="F31" i="8" s="1"/>
  <c r="E31" i="8"/>
  <c r="E32" i="8" s="1"/>
  <c r="D31" i="8"/>
  <c r="F30" i="8" a="1"/>
  <c r="F30" i="8" s="1"/>
  <c r="D30" i="8"/>
  <c r="F29" i="8" a="1"/>
  <c r="F29" i="8" s="1"/>
  <c r="E29" i="8"/>
  <c r="E30" i="8" s="1"/>
  <c r="D29" i="8"/>
  <c r="F28" i="8" a="1"/>
  <c r="F28" i="8" s="1"/>
  <c r="E28" i="8"/>
  <c r="D28" i="8"/>
  <c r="F27" i="8" a="1"/>
  <c r="F27" i="8" s="1"/>
  <c r="E27" i="8"/>
  <c r="D27" i="8"/>
  <c r="F26" i="8" a="1"/>
  <c r="F26" i="8" s="1"/>
  <c r="E26" i="8"/>
  <c r="D26" i="8"/>
  <c r="F25" i="8" a="1"/>
  <c r="F25" i="8" s="1"/>
  <c r="E25" i="8"/>
  <c r="D25" i="8"/>
  <c r="F24" i="8" a="1"/>
  <c r="F24" i="8" s="1"/>
  <c r="E24" i="8"/>
  <c r="D24" i="8"/>
  <c r="F23" i="8" a="1"/>
  <c r="F23" i="8" s="1"/>
  <c r="D23" i="8"/>
  <c r="F22" i="8" a="1"/>
  <c r="F22" i="8" s="1"/>
  <c r="D22" i="8"/>
  <c r="F21" i="8" a="1"/>
  <c r="F21" i="8" s="1"/>
  <c r="E21" i="8"/>
  <c r="E22" i="8" s="1"/>
  <c r="E23" i="8" s="1"/>
  <c r="D21" i="8"/>
  <c r="F20" i="8" a="1"/>
  <c r="F20" i="8" s="1"/>
  <c r="D20" i="8"/>
  <c r="F19" i="8" a="1"/>
  <c r="F19" i="8" s="1"/>
  <c r="E19" i="8"/>
  <c r="E20" i="8" s="1"/>
  <c r="D19" i="8"/>
  <c r="F18" i="8" a="1"/>
  <c r="F18" i="8" s="1"/>
  <c r="E18" i="8"/>
  <c r="D18" i="8"/>
  <c r="F17" i="8" a="1"/>
  <c r="F17" i="8" s="1"/>
  <c r="E17" i="8"/>
  <c r="D17" i="8"/>
  <c r="F16" i="8" a="1"/>
  <c r="F16" i="8" s="1"/>
  <c r="E16" i="8"/>
  <c r="D16" i="8"/>
  <c r="F15" i="8" a="1"/>
  <c r="F15" i="8" s="1"/>
  <c r="E15" i="8"/>
  <c r="D15" i="8"/>
  <c r="F14" i="8" a="1"/>
  <c r="F14" i="8" s="1"/>
  <c r="D14" i="8"/>
  <c r="F13" i="8" a="1"/>
  <c r="F13" i="8" s="1"/>
  <c r="E13" i="8"/>
  <c r="E14" i="8" s="1"/>
  <c r="D13" i="8"/>
  <c r="F12" i="8" a="1"/>
  <c r="F12" i="8" s="1"/>
  <c r="E12" i="8"/>
  <c r="D12" i="8"/>
  <c r="F11" i="8" a="1"/>
  <c r="F11" i="8" s="1"/>
  <c r="E11" i="8"/>
  <c r="D11" i="8"/>
  <c r="F10" i="8" a="1"/>
  <c r="F10" i="8" s="1"/>
  <c r="E10" i="8"/>
  <c r="D10" i="8"/>
  <c r="F9" i="8" a="1"/>
  <c r="F9" i="8" s="1"/>
  <c r="E9" i="8"/>
  <c r="D9" i="8"/>
  <c r="F8" i="8" a="1"/>
  <c r="F8" i="8" s="1"/>
  <c r="D8" i="8"/>
  <c r="F7" i="8" a="1"/>
  <c r="F7" i="8" s="1"/>
  <c r="E7" i="8"/>
  <c r="E8" i="8" s="1"/>
  <c r="D7" i="8"/>
  <c r="F6" i="8" a="1"/>
  <c r="F6" i="8" s="1"/>
  <c r="D6" i="8"/>
  <c r="F5" i="8" a="1"/>
  <c r="F5" i="8" s="1"/>
  <c r="E5" i="8"/>
  <c r="E6" i="8" s="1"/>
  <c r="D5" i="8"/>
  <c r="F4" i="8" a="1"/>
  <c r="F4" i="8" s="1"/>
  <c r="E4" i="8"/>
  <c r="D4" i="8"/>
  <c r="F3" i="8" a="1"/>
  <c r="F3" i="8" s="1"/>
  <c r="E3" i="8"/>
  <c r="D3" i="8"/>
  <c r="C41" i="7"/>
  <c r="C42" i="7" s="1"/>
  <c r="E38" i="7" a="1"/>
  <c r="E38" i="7" s="1"/>
  <c r="C38" i="7"/>
  <c r="E37" i="7" a="1"/>
  <c r="E37" i="7" s="1"/>
  <c r="C37" i="7" a="1"/>
  <c r="C37" i="7" s="1"/>
  <c r="E36" i="7"/>
  <c r="C36" i="7"/>
  <c r="E35" i="7"/>
  <c r="C35" i="7"/>
  <c r="C34" i="7"/>
  <c r="C20" i="6"/>
  <c r="C21" i="6" s="1"/>
  <c r="B20" i="6"/>
  <c r="B21" i="6" s="1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2" i="5"/>
  <c r="C2" i="5"/>
  <c r="C45" i="4"/>
  <c r="D44" i="4"/>
  <c r="D39" i="4"/>
  <c r="D36" i="4"/>
  <c r="D40" i="4" s="1"/>
  <c r="C36" i="4"/>
  <c r="C35" i="4"/>
  <c r="E23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E3" i="4"/>
  <c r="E24" i="4" s="1" a="1"/>
  <c r="E24" i="4" s="1"/>
  <c r="C3" i="4"/>
  <c r="H29" i="3"/>
  <c r="J24" i="3"/>
  <c r="K19" i="3"/>
  <c r="K17" i="3"/>
  <c r="H13" i="3"/>
  <c r="F8" i="3"/>
  <c r="L7" i="3"/>
  <c r="H6" i="3"/>
  <c r="H5" i="3"/>
  <c r="L3" i="3"/>
  <c r="K3" i="3"/>
  <c r="L2" i="3"/>
  <c r="K2" i="3"/>
  <c r="J8" i="3"/>
  <c r="C21" i="2" a="1"/>
  <c r="C21" i="2" s="1"/>
  <c r="B21" i="2" a="1"/>
  <c r="B21" i="2" s="1"/>
  <c r="D21" i="2" s="1"/>
  <c r="C20" i="2" a="1"/>
  <c r="C20" i="2" s="1"/>
  <c r="B20" i="2" a="1"/>
  <c r="B20" i="2" s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9" i="1" l="1" a="1"/>
  <c r="G19" i="1" s="1"/>
  <c r="G21" i="1" s="1"/>
  <c r="D20" i="5"/>
  <c r="D21" i="5" s="1"/>
  <c r="K18" i="10"/>
  <c r="R18" i="10" s="1"/>
  <c r="H7" i="3"/>
  <c r="J16" i="3"/>
  <c r="H17" i="3"/>
  <c r="H19" i="3"/>
  <c r="K21" i="3"/>
  <c r="K23" i="3"/>
  <c r="J32" i="3"/>
  <c r="H3" i="3"/>
  <c r="F4" i="3"/>
  <c r="K5" i="3"/>
  <c r="J7" i="3"/>
  <c r="H8" i="3"/>
  <c r="K9" i="3"/>
  <c r="K11" i="3"/>
  <c r="J20" i="3"/>
  <c r="H21" i="3"/>
  <c r="H23" i="3"/>
  <c r="K25" i="3"/>
  <c r="K27" i="3"/>
  <c r="J2" i="3"/>
  <c r="J3" i="3"/>
  <c r="H4" i="3"/>
  <c r="L5" i="3"/>
  <c r="F6" i="3"/>
  <c r="K7" i="3"/>
  <c r="K8" i="3"/>
  <c r="H9" i="3"/>
  <c r="H11" i="3"/>
  <c r="K13" i="3"/>
  <c r="K15" i="3"/>
  <c r="H25" i="3"/>
  <c r="H27" i="3"/>
  <c r="K29" i="3"/>
  <c r="K31" i="3"/>
  <c r="D20" i="6"/>
  <c r="D21" i="6" s="1"/>
  <c r="K19" i="10"/>
  <c r="K20" i="10" s="1"/>
  <c r="K21" i="10" s="1"/>
  <c r="J12" i="3"/>
  <c r="H15" i="3"/>
  <c r="J28" i="3"/>
  <c r="H31" i="3"/>
  <c r="E31" i="4"/>
  <c r="E33" i="9"/>
  <c r="E34" i="9" s="1"/>
  <c r="C34" i="9" s="1"/>
  <c r="E33" i="8"/>
  <c r="C43" i="7"/>
  <c r="C40" i="7"/>
  <c r="C39" i="7"/>
  <c r="E39" i="7"/>
  <c r="E40" i="7"/>
  <c r="D41" i="4"/>
  <c r="C24" i="4" a="1"/>
  <c r="C24" i="4" s="1"/>
  <c r="C25" i="4"/>
  <c r="C26" i="4" s="1"/>
  <c r="C27" i="4"/>
  <c r="C28" i="4" s="1"/>
  <c r="E29" i="4"/>
  <c r="E30" i="4" s="1"/>
  <c r="E25" i="4"/>
  <c r="E26" i="4" s="1"/>
  <c r="E27" i="4"/>
  <c r="E28" i="4" s="1"/>
  <c r="D45" i="4"/>
  <c r="C46" i="4"/>
  <c r="D37" i="4"/>
  <c r="K4" i="3"/>
  <c r="J11" i="3"/>
  <c r="D11" i="3"/>
  <c r="K14" i="3"/>
  <c r="F14" i="3"/>
  <c r="J19" i="3"/>
  <c r="D19" i="3"/>
  <c r="K22" i="3"/>
  <c r="F22" i="3"/>
  <c r="J23" i="3"/>
  <c r="D23" i="3"/>
  <c r="K26" i="3"/>
  <c r="F26" i="3"/>
  <c r="D3" i="3"/>
  <c r="D6" i="3"/>
  <c r="J6" i="3"/>
  <c r="D7" i="3"/>
  <c r="L9" i="3"/>
  <c r="H10" i="3"/>
  <c r="D12" i="3"/>
  <c r="L13" i="3"/>
  <c r="H14" i="3"/>
  <c r="D16" i="3"/>
  <c r="L17" i="3"/>
  <c r="H18" i="3"/>
  <c r="D20" i="3"/>
  <c r="L21" i="3"/>
  <c r="H22" i="3"/>
  <c r="D24" i="3"/>
  <c r="L25" i="3"/>
  <c r="H26" i="3"/>
  <c r="D28" i="3"/>
  <c r="L29" i="3"/>
  <c r="H30" i="3"/>
  <c r="D32" i="3"/>
  <c r="K10" i="3"/>
  <c r="F10" i="3"/>
  <c r="J15" i="3"/>
  <c r="D15" i="3"/>
  <c r="K18" i="3"/>
  <c r="F18" i="3"/>
  <c r="J27" i="3"/>
  <c r="D27" i="3"/>
  <c r="K30" i="3"/>
  <c r="F30" i="3"/>
  <c r="J31" i="3"/>
  <c r="D31" i="3"/>
  <c r="J5" i="3"/>
  <c r="J9" i="3"/>
  <c r="D9" i="3"/>
  <c r="J10" i="3"/>
  <c r="F12" i="3"/>
  <c r="K12" i="3"/>
  <c r="J17" i="3"/>
  <c r="D17" i="3"/>
  <c r="J21" i="3"/>
  <c r="D21" i="3"/>
  <c r="J22" i="3"/>
  <c r="J25" i="3"/>
  <c r="D25" i="3"/>
  <c r="J26" i="3"/>
  <c r="K28" i="3"/>
  <c r="F28" i="3"/>
  <c r="J29" i="3"/>
  <c r="D29" i="3"/>
  <c r="J30" i="3"/>
  <c r="K32" i="3"/>
  <c r="F32" i="3"/>
  <c r="K6" i="3"/>
  <c r="J13" i="3"/>
  <c r="D13" i="3"/>
  <c r="J14" i="3"/>
  <c r="K16" i="3"/>
  <c r="F16" i="3"/>
  <c r="J18" i="3"/>
  <c r="K20" i="3"/>
  <c r="F20" i="3"/>
  <c r="K24" i="3"/>
  <c r="F24" i="3"/>
  <c r="D4" i="3"/>
  <c r="J4" i="3"/>
  <c r="D5" i="3"/>
  <c r="D8" i="3"/>
  <c r="D10" i="3"/>
  <c r="L11" i="3"/>
  <c r="H12" i="3"/>
  <c r="D14" i="3"/>
  <c r="L15" i="3"/>
  <c r="H16" i="3"/>
  <c r="D18" i="3"/>
  <c r="L19" i="3"/>
  <c r="H20" i="3"/>
  <c r="D22" i="3"/>
  <c r="L23" i="3"/>
  <c r="H24" i="3"/>
  <c r="D26" i="3"/>
  <c r="L27" i="3"/>
  <c r="H28" i="3"/>
  <c r="D30" i="3"/>
  <c r="L31" i="3"/>
  <c r="H32" i="3"/>
  <c r="L4" i="3"/>
  <c r="L6" i="3"/>
  <c r="L8" i="3"/>
  <c r="L14" i="3"/>
  <c r="L22" i="3"/>
  <c r="L24" i="3"/>
  <c r="L26" i="3"/>
  <c r="L28" i="3"/>
  <c r="L30" i="3"/>
  <c r="L32" i="3"/>
  <c r="L10" i="3"/>
  <c r="L12" i="3"/>
  <c r="L16" i="3"/>
  <c r="L18" i="3"/>
  <c r="L20" i="3"/>
  <c r="F3" i="3"/>
  <c r="F5" i="3"/>
  <c r="F7" i="3"/>
  <c r="F9" i="3"/>
  <c r="F11" i="3"/>
  <c r="F13" i="3"/>
  <c r="F15" i="3"/>
  <c r="F17" i="3"/>
  <c r="F19" i="3"/>
  <c r="F21" i="3"/>
  <c r="F23" i="3"/>
  <c r="F25" i="3"/>
  <c r="F27" i="3"/>
  <c r="F29" i="3"/>
  <c r="F31" i="3"/>
  <c r="D20" i="2"/>
  <c r="R19" i="10" l="1"/>
  <c r="K34" i="3"/>
  <c r="J34" i="3"/>
  <c r="H42" i="3" a="1"/>
  <c r="H42" i="3" s="1"/>
  <c r="E32" i="4"/>
  <c r="E45" i="4" s="1"/>
  <c r="H36" i="3"/>
  <c r="H37" i="3" s="1"/>
  <c r="L34" i="3"/>
  <c r="H34" i="3"/>
  <c r="H35" i="3" s="1"/>
  <c r="H40" i="3"/>
  <c r="C47" i="4"/>
  <c r="D46" i="4"/>
  <c r="F46" i="4" s="1"/>
  <c r="F44" i="4"/>
  <c r="F45" i="4"/>
  <c r="E33" i="4"/>
  <c r="E39" i="4"/>
  <c r="H43" i="3" a="1"/>
  <c r="H43" i="3" s="1"/>
  <c r="H33" i="3"/>
  <c r="D40" i="3"/>
  <c r="D36" i="3"/>
  <c r="D33" i="3"/>
  <c r="D42" i="3" a="1"/>
  <c r="D42" i="3" s="1"/>
  <c r="D34" i="3"/>
  <c r="D35" i="3" s="1"/>
  <c r="D43" i="3" a="1"/>
  <c r="D43" i="3" s="1"/>
  <c r="F34" i="3"/>
  <c r="F35" i="3" s="1"/>
  <c r="F43" i="3" a="1"/>
  <c r="F43" i="3" s="1"/>
  <c r="F40" i="3"/>
  <c r="F36" i="3"/>
  <c r="F33" i="3"/>
  <c r="F42" i="3" a="1"/>
  <c r="F42" i="3" s="1"/>
  <c r="E46" i="4" l="1"/>
  <c r="H44" i="3"/>
  <c r="H45" i="3" s="1"/>
  <c r="Q25" i="10"/>
  <c r="Q26" i="10"/>
  <c r="Q27" i="10"/>
  <c r="Q28" i="10"/>
  <c r="Q29" i="10"/>
  <c r="Q30" i="10"/>
  <c r="Q31" i="10"/>
  <c r="Q32" i="10"/>
  <c r="Q33" i="10"/>
  <c r="E44" i="4"/>
  <c r="G44" i="4" s="1"/>
  <c r="E35" i="4"/>
  <c r="E36" i="4" s="1"/>
  <c r="G39" i="4" s="1"/>
  <c r="F44" i="3"/>
  <c r="F45" i="3" s="1"/>
  <c r="G45" i="4"/>
  <c r="G46" i="4"/>
  <c r="C48" i="4"/>
  <c r="D47" i="4"/>
  <c r="F47" i="4" s="1"/>
  <c r="F37" i="3"/>
  <c r="F39" i="3" s="1"/>
  <c r="F38" i="3"/>
  <c r="D37" i="3"/>
  <c r="D39" i="3" s="1"/>
  <c r="D38" i="3"/>
  <c r="D44" i="3"/>
  <c r="D45" i="3" s="1"/>
  <c r="H39" i="3"/>
  <c r="H38" i="3"/>
  <c r="E47" i="4" l="1"/>
  <c r="G47" i="4" s="1"/>
  <c r="C49" i="4"/>
  <c r="D48" i="4"/>
  <c r="E48" i="4" s="1"/>
  <c r="F48" i="4" l="1"/>
  <c r="C50" i="4"/>
  <c r="D49" i="4"/>
  <c r="F49" i="4" s="1"/>
  <c r="G48" i="4"/>
  <c r="E49" i="4" l="1"/>
  <c r="G49" i="4" s="1"/>
  <c r="C51" i="4"/>
  <c r="D50" i="4"/>
  <c r="F50" i="4" s="1"/>
  <c r="E50" i="4"/>
  <c r="G50" i="4" l="1"/>
  <c r="C52" i="4"/>
  <c r="D51" i="4"/>
  <c r="E51" i="4" s="1"/>
  <c r="C53" i="4" l="1"/>
  <c r="D52" i="4"/>
  <c r="F52" i="4" s="1"/>
  <c r="F51" i="4"/>
  <c r="G51" i="4" s="1"/>
  <c r="C54" i="4" l="1"/>
  <c r="D53" i="4"/>
  <c r="F53" i="4" s="1"/>
  <c r="E52" i="4"/>
  <c r="G52" i="4" s="1"/>
  <c r="E53" i="4" l="1"/>
  <c r="G53" i="4" s="1"/>
  <c r="C55" i="4"/>
  <c r="D54" i="4"/>
  <c r="E54" i="4" s="1"/>
  <c r="D55" i="4" l="1"/>
  <c r="F55" i="4" s="1"/>
  <c r="C56" i="4"/>
  <c r="E55" i="4"/>
  <c r="F54" i="4"/>
  <c r="G54" i="4" s="1"/>
  <c r="G55" i="4" l="1"/>
  <c r="C57" i="4"/>
  <c r="D56" i="4"/>
  <c r="F56" i="4" s="1"/>
  <c r="E56" i="4" l="1"/>
  <c r="C58" i="4"/>
  <c r="D57" i="4"/>
  <c r="E57" i="4" s="1"/>
  <c r="G56" i="4"/>
  <c r="F57" i="4" l="1"/>
  <c r="G57" i="4"/>
  <c r="C59" i="4"/>
  <c r="D58" i="4"/>
  <c r="E58" i="4" s="1"/>
  <c r="F58" i="4" l="1"/>
  <c r="D59" i="4"/>
  <c r="E59" i="4" s="1"/>
  <c r="C60" i="4"/>
  <c r="G58" i="4"/>
  <c r="F59" i="4" l="1"/>
  <c r="G59" i="4" s="1"/>
  <c r="C61" i="4"/>
  <c r="D60" i="4"/>
  <c r="F60" i="4" s="1"/>
  <c r="E60" i="4" l="1"/>
  <c r="C62" i="4"/>
  <c r="D61" i="4"/>
  <c r="E61" i="4" s="1"/>
  <c r="F61" i="4"/>
  <c r="G60" i="4"/>
  <c r="G61" i="4" l="1"/>
  <c r="C63" i="4"/>
  <c r="D62" i="4"/>
  <c r="F62" i="4" s="1"/>
  <c r="E62" i="4"/>
  <c r="C64" i="4" l="1"/>
  <c r="D63" i="4"/>
  <c r="F63" i="4" s="1"/>
  <c r="G62" i="4"/>
  <c r="E63" i="4" l="1"/>
  <c r="G63" i="4" s="1"/>
  <c r="D64" i="4"/>
  <c r="F64" i="4" s="1"/>
  <c r="E64" i="4" l="1"/>
  <c r="E66" i="4" s="1"/>
  <c r="F66" i="4"/>
  <c r="G64" i="4" l="1"/>
  <c r="G66" i="4" s="1"/>
</calcChain>
</file>

<file path=xl/sharedStrings.xml><?xml version="1.0" encoding="utf-8"?>
<sst xmlns="http://schemas.openxmlformats.org/spreadsheetml/2006/main" count="296" uniqueCount="177">
  <si>
    <t xml:space="preserve">Period </t>
  </si>
  <si>
    <t>Month</t>
  </si>
  <si>
    <t>Closing Price (ZAR)</t>
  </si>
  <si>
    <t>Dividend (ZAR)</t>
  </si>
  <si>
    <t>Absolute Return (%)</t>
  </si>
  <si>
    <t>1/12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</si>
  <si>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</si>
  <si>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</si>
  <si>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</si>
  <si>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</si>
  <si>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</si>
  <si>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</si>
  <si>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</si>
  <si>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</si>
  <si>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</si>
  <si>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</si>
  <si>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</t>
  </si>
  <si>
    <t>13/12</t>
  </si>
  <si>
    <t>14/12</t>
  </si>
  <si>
    <t>15/12</t>
  </si>
  <si>
    <t>cumulative return</t>
  </si>
  <si>
    <t>annualized return</t>
  </si>
  <si>
    <t>Monthly portfolio performance</t>
  </si>
  <si>
    <t>Monthly benchmark performance</t>
  </si>
  <si>
    <t>Monthly alpha</t>
  </si>
  <si>
    <t>07/2012</t>
  </si>
  <si>
    <t>08/2012</t>
  </si>
  <si>
    <t>09/2012</t>
  </si>
  <si>
    <t>10/2012</t>
  </si>
  <si>
    <t>11/2012</t>
  </si>
  <si>
    <t>12/2012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</si>
  <si>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</si>
  <si>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</si>
  <si>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</si>
  <si>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</si>
  <si>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</si>
  <si>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</si>
  <si>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</si>
  <si>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</si>
  <si>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</si>
  <si>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</si>
  <si>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</si>
  <si>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</si>
  <si>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k</t>
  </si>
  <si>
    <t>ANG</t>
  </si>
  <si>
    <t>SBK</t>
  </si>
  <si>
    <t>SHP</t>
  </si>
  <si>
    <t>volatility</t>
  </si>
  <si>
    <t>annualized volatility</t>
  </si>
  <si>
    <t>covar.s</t>
  </si>
  <si>
    <t>annualized covariance</t>
  </si>
  <si>
    <t>correlation</t>
  </si>
  <si>
    <t>annualized correlation</t>
  </si>
  <si>
    <t>re-check</t>
  </si>
  <si>
    <t>Cummulative Return</t>
  </si>
  <si>
    <t>Annualised Return</t>
  </si>
  <si>
    <t>Coefficient of variation</t>
  </si>
  <si>
    <t>Period</t>
  </si>
  <si>
    <t>AGSF Price</t>
  </si>
  <si>
    <t>AGSF Return</t>
  </si>
  <si>
    <t>AGBD Price</t>
  </si>
  <si>
    <t>AGBD Return</t>
  </si>
  <si>
    <t>HPR</t>
  </si>
  <si>
    <t>ANNUALISED RETURN</t>
  </si>
  <si>
    <t>VAR</t>
  </si>
  <si>
    <t>ANNUALISED VAR</t>
  </si>
  <si>
    <t>STDEV</t>
  </si>
  <si>
    <t>ANNUALISED STDEV</t>
  </si>
  <si>
    <t>Cov</t>
  </si>
  <si>
    <t>ANNUALISED COV</t>
  </si>
  <si>
    <t>Correl</t>
  </si>
  <si>
    <t>ANNUALISED CORREL</t>
  </si>
  <si>
    <t>50% AG Equity</t>
  </si>
  <si>
    <t>50% AG Bond</t>
  </si>
  <si>
    <t>PORTFOLIO RISK</t>
  </si>
  <si>
    <t>Var</t>
  </si>
  <si>
    <t>SD</t>
  </si>
  <si>
    <t>TOTAL</t>
  </si>
  <si>
    <t>SR</t>
  </si>
  <si>
    <t>PORTFOLIO RETURN</t>
  </si>
  <si>
    <t>AGSF</t>
  </si>
  <si>
    <t>AGBD</t>
  </si>
  <si>
    <t>Portfolio</t>
  </si>
  <si>
    <t>AGSF WEIGHT</t>
  </si>
  <si>
    <t>AGBD WEIGHT</t>
  </si>
  <si>
    <t>Risk</t>
  </si>
  <si>
    <t>Return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</si>
  <si>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</si>
  <si>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</si>
  <si>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</si>
  <si>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</si>
  <si>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</si>
  <si>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</si>
  <si>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</si>
  <si>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</si>
  <si>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</si>
  <si>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</si>
  <si>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</si>
  <si>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</si>
  <si>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</si>
  <si>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</si>
  <si>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</si>
  <si>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</si>
  <si>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</si>
  <si>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</si>
  <si>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semi-variance</t>
  </si>
  <si>
    <t>semi-deviation</t>
  </si>
  <si>
    <t>FIRST CONTRA</t>
  </si>
  <si>
    <t>S&amp;P 500</t>
  </si>
  <si>
    <t>ALPHA</t>
  </si>
  <si>
    <t>Date</t>
  </si>
  <si>
    <t>Close</t>
  </si>
  <si>
    <t>Vol</t>
  </si>
  <si>
    <t>beta</t>
  </si>
  <si>
    <t xml:space="preserve">annualized return </t>
  </si>
  <si>
    <t>Sharpe ratio</t>
  </si>
  <si>
    <t>Treynor ratio</t>
  </si>
  <si>
    <t>TE monthly</t>
  </si>
  <si>
    <t>TE p.a.</t>
  </si>
  <si>
    <t>information ratio</t>
  </si>
  <si>
    <t>risk-free rate</t>
  </si>
  <si>
    <t>Absolute drawdown (yes/no)?</t>
  </si>
  <si>
    <t>Cumulative return in drawdown period</t>
  </si>
  <si>
    <t>cumulative absolute return</t>
  </si>
  <si>
    <t>MADD</t>
  </si>
  <si>
    <t>geometric average</t>
  </si>
  <si>
    <t>SoR</t>
  </si>
  <si>
    <r>
      <t>Is r</t>
    </r>
    <r>
      <rPr>
        <b/>
        <sz val="8"/>
        <color theme="0"/>
        <rFont val="Calibri"/>
        <family val="2"/>
        <scheme val="minor"/>
      </rPr>
      <t>pf</t>
    </r>
    <r>
      <rPr>
        <b/>
        <sz val="11"/>
        <color theme="0"/>
        <rFont val="Calibri"/>
        <family val="2"/>
        <scheme val="minor"/>
      </rPr>
      <t>&lt;r* (yes/no)?</t>
    </r>
  </si>
  <si>
    <r>
      <t>d</t>
    </r>
    <r>
      <rPr>
        <b/>
        <sz val="8"/>
        <color theme="0"/>
        <rFont val="Calibri"/>
        <family val="2"/>
        <scheme val="minor"/>
      </rPr>
      <t>k</t>
    </r>
    <r>
      <rPr>
        <b/>
        <sz val="11"/>
        <color theme="0"/>
        <rFont val="Calibri"/>
        <family val="2"/>
        <scheme val="minor"/>
      </rPr>
      <t>^</t>
    </r>
    <r>
      <rPr>
        <b/>
        <sz val="9"/>
        <color theme="0"/>
        <rFont val="Calibri"/>
        <family val="2"/>
        <scheme val="minor"/>
      </rPr>
      <t>2</t>
    </r>
  </si>
  <si>
    <r>
      <t>V</t>
    </r>
    <r>
      <rPr>
        <b/>
        <sz val="8"/>
        <color theme="0"/>
        <rFont val="Calibri"/>
        <family val="2"/>
        <scheme val="minor"/>
      </rPr>
      <t xml:space="preserve">ANG </t>
    </r>
    <r>
      <rPr>
        <b/>
        <sz val="12"/>
        <color theme="0"/>
        <rFont val="Calibri"/>
        <family val="2"/>
        <scheme val="minor"/>
      </rPr>
      <t>(ZAR)</t>
    </r>
  </si>
  <si>
    <r>
      <rPr>
        <b/>
        <sz val="8"/>
        <color theme="0"/>
        <rFont val="Calibri"/>
        <family val="2"/>
        <scheme val="minor"/>
      </rPr>
      <t xml:space="preserve">Return ANG </t>
    </r>
    <r>
      <rPr>
        <b/>
        <sz val="12"/>
        <color theme="0"/>
        <rFont val="Calibri"/>
        <family val="2"/>
        <scheme val="minor"/>
      </rPr>
      <t>(%)</t>
    </r>
  </si>
  <si>
    <r>
      <t>V</t>
    </r>
    <r>
      <rPr>
        <b/>
        <sz val="8"/>
        <color theme="0"/>
        <rFont val="Calibri"/>
        <family val="2"/>
        <scheme val="minor"/>
      </rPr>
      <t xml:space="preserve">SBK </t>
    </r>
    <r>
      <rPr>
        <b/>
        <sz val="11"/>
        <color theme="0"/>
        <rFont val="Calibri"/>
        <family val="2"/>
        <scheme val="minor"/>
      </rPr>
      <t>(ZAR)</t>
    </r>
  </si>
  <si>
    <r>
      <rPr>
        <b/>
        <sz val="8"/>
        <color theme="0"/>
        <rFont val="Calibri"/>
        <family val="2"/>
        <scheme val="minor"/>
      </rPr>
      <t xml:space="preserve">Return SBK </t>
    </r>
    <r>
      <rPr>
        <b/>
        <sz val="12"/>
        <color theme="0"/>
        <rFont val="Calibri"/>
        <family val="2"/>
        <scheme val="minor"/>
      </rPr>
      <t>(%)</t>
    </r>
  </si>
  <si>
    <r>
      <t>V</t>
    </r>
    <r>
      <rPr>
        <b/>
        <sz val="8"/>
        <color theme="0"/>
        <rFont val="Calibri"/>
        <family val="2"/>
        <scheme val="minor"/>
      </rPr>
      <t xml:space="preserve">SHP </t>
    </r>
    <r>
      <rPr>
        <b/>
        <sz val="11"/>
        <color theme="0"/>
        <rFont val="Calibri"/>
        <family val="2"/>
        <scheme val="minor"/>
      </rPr>
      <t>(ZAR)</t>
    </r>
  </si>
  <si>
    <r>
      <rPr>
        <b/>
        <sz val="8"/>
        <color theme="0"/>
        <rFont val="Calibri"/>
        <family val="2"/>
        <scheme val="minor"/>
      </rPr>
      <t xml:space="preserve">Return SHP </t>
    </r>
    <r>
      <rPr>
        <b/>
        <sz val="12"/>
        <color theme="0"/>
        <rFont val="Calibri"/>
        <family val="2"/>
        <scheme val="minor"/>
      </rPr>
      <t>(%)</t>
    </r>
  </si>
  <si>
    <t>DATE</t>
  </si>
  <si>
    <t>AGEF</t>
  </si>
  <si>
    <t>AGSF RET</t>
  </si>
  <si>
    <t>AGEF RET</t>
  </si>
  <si>
    <t>AGBD RET</t>
  </si>
  <si>
    <t>PORTRET</t>
  </si>
  <si>
    <t>Portfolio Weights</t>
  </si>
  <si>
    <t>Portfolio weights transposed</t>
  </si>
  <si>
    <t>Sum of weights</t>
  </si>
  <si>
    <t>Portfolio Statistics</t>
  </si>
  <si>
    <t>Mean</t>
  </si>
  <si>
    <t>Variance</t>
  </si>
  <si>
    <t>Std Dev.</t>
  </si>
  <si>
    <t>Sharpe Ratio</t>
  </si>
  <si>
    <t>Points for efficient frontier</t>
  </si>
  <si>
    <t>Fund Returns</t>
  </si>
  <si>
    <t>Correlations</t>
  </si>
  <si>
    <t>Asset 1</t>
  </si>
  <si>
    <t>Asset 2</t>
  </si>
  <si>
    <t>Asset 3</t>
  </si>
  <si>
    <t>Asset 4</t>
  </si>
  <si>
    <t>StDev</t>
  </si>
  <si>
    <t>Covariance</t>
  </si>
  <si>
    <t>Weights Transposed</t>
  </si>
  <si>
    <t>MVP Weights</t>
  </si>
  <si>
    <t>Markowitz Efficient Portfolio</t>
  </si>
  <si>
    <r>
      <t>Portfolio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Statistics</t>
    </r>
  </si>
  <si>
    <t xml:space="preserve">E(R) </t>
  </si>
  <si>
    <t>MVP</t>
  </si>
  <si>
    <t>Markowitz Portfolio</t>
  </si>
  <si>
    <t xml:space="preserve">Pages Number
</t>
  </si>
  <si>
    <t>Pages Number</t>
  </si>
  <si>
    <t>Capital Market Line</t>
  </si>
  <si>
    <t>Std Dev</t>
  </si>
  <si>
    <t>Risk-premium</t>
  </si>
  <si>
    <t xml:space="preserve">Risk-free </t>
  </si>
  <si>
    <t>Statistics for CML calculation</t>
  </si>
  <si>
    <t>Ebook</t>
  </si>
  <si>
    <t>PaperBack</t>
  </si>
  <si>
    <t>Paperback</t>
  </si>
  <si>
    <t>Cumulative return(No Div)</t>
  </si>
  <si>
    <t>Arithmentic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</si>
</sst>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(* #,##0.00000_);_(* \(#,##0.00000\);_(* &quot;-&quot;??_);_(@_)"/>
    <numFmt numFmtId="167" formatCode="0.00000"/>
    <numFmt numFmtId="168" formatCode="0.0000%"/>
    <numFmt numFmtId="169" formatCode="0.0000"/>
    <numFmt numFmtId="170" formatCode="mmm\-yyyy"/>
    <numFmt numFmtId="171" formatCode="_(* #,##0.0000_);_(* \(#,##0.0000\);_(* &quot;-&quot;??_);_(@_)"/>
    <numFmt numFmtId="172" formatCode="0.000%"/>
    <numFmt numFmtId="173" formatCode="0.000"/>
    <numFmt numFmtId="174" formatCode="0.00000000000000000"/>
    <numFmt numFmtId="175" formatCode="0.0%"/>
    <numFmt numFmtId="176" formatCode="0.000000"/>
    <numFmt numFmtId="177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b/>
      <i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i/>
      <sz val="9"/>
      <color rgb="FF000000"/>
      <name val="Calibri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sz val="11"/>
      <color rgb="FF0020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2" borderId="0" xfId="0" applyFont="1" applyFill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5" fontId="0" fillId="0" borderId="4" xfId="0" applyNumberFormat="1" applyBorder="1" applyAlignment="1">
      <alignment horizontal="center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3" fontId="0" fillId="0" borderId="4" xfId="1" applyFont="1" applyBorder="1" applyAlignment="1">
      <alignment vertical="top" wrapText="1"/>
    </xf>
    <xf numFmtId="10" fontId="1" fillId="0" borderId="5" xfId="2" applyNumberFormat="1" applyBorder="1" applyAlignment="1">
      <alignment horizontal="center" vertical="top" wrapText="1"/>
    </xf>
    <xf numFmtId="2" fontId="0" fillId="0" borderId="4" xfId="1" applyNumberFormat="1" applyFont="1" applyBorder="1" applyAlignment="1">
      <alignment vertical="top" wrapText="1"/>
    </xf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10" fontId="0" fillId="0" borderId="6" xfId="0" applyNumberFormat="1" applyBorder="1" applyAlignment="1">
      <alignment horizontal="center" vertical="top" wrapText="1"/>
    </xf>
    <xf numFmtId="10" fontId="1" fillId="0" borderId="6" xfId="2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10" fontId="0" fillId="0" borderId="7" xfId="0" applyNumberFormat="1" applyBorder="1" applyAlignment="1">
      <alignment horizontal="center" vertical="top" wrapText="1"/>
    </xf>
    <xf numFmtId="10" fontId="1" fillId="0" borderId="7" xfId="2" applyNumberFormat="1" applyBorder="1" applyAlignment="1">
      <alignment horizontal="center" vertical="top" wrapText="1"/>
    </xf>
    <xf numFmtId="167" fontId="0" fillId="0" borderId="0" xfId="0" applyNumberFormat="1"/>
    <xf numFmtId="168" fontId="0" fillId="0" borderId="0" xfId="2" applyNumberFormat="1" applyFont="1"/>
    <xf numFmtId="49" fontId="0" fillId="0" borderId="8" xfId="0" applyNumberFormat="1" applyBorder="1" applyAlignment="1">
      <alignment horizontal="center" vertical="top" wrapText="1"/>
    </xf>
    <xf numFmtId="10" fontId="0" fillId="0" borderId="8" xfId="0" applyNumberFormat="1" applyBorder="1" applyAlignment="1">
      <alignment horizontal="center" vertical="top" wrapText="1"/>
    </xf>
    <xf numFmtId="10" fontId="1" fillId="0" borderId="8" xfId="2" applyNumberFormat="1" applyBorder="1" applyAlignment="1">
      <alignment horizontal="center" vertical="top" wrapText="1"/>
    </xf>
    <xf numFmtId="17" fontId="0" fillId="0" borderId="6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10" fontId="0" fillId="0" borderId="4" xfId="0" applyNumberFormat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10" fontId="0" fillId="0" borderId="0" xfId="2" applyNumberFormat="1" applyFont="1" applyAlignment="1">
      <alignment horizontal="center" vertical="top" wrapText="1"/>
    </xf>
    <xf numFmtId="169" fontId="0" fillId="0" borderId="0" xfId="0" applyNumberFormat="1" applyAlignment="1">
      <alignment horizontal="center" vertical="top" wrapText="1"/>
    </xf>
    <xf numFmtId="169" fontId="5" fillId="0" borderId="0" xfId="0" applyNumberFormat="1" applyFont="1" applyAlignment="1">
      <alignment horizontal="center" vertical="top" wrapText="1"/>
    </xf>
    <xf numFmtId="10" fontId="0" fillId="0" borderId="0" xfId="2" applyNumberFormat="1" applyFont="1"/>
    <xf numFmtId="10" fontId="0" fillId="0" borderId="0" xfId="0" applyNumberFormat="1"/>
    <xf numFmtId="2" fontId="0" fillId="0" borderId="0" xfId="0" applyNumberFormat="1"/>
    <xf numFmtId="14" fontId="0" fillId="0" borderId="0" xfId="0" applyNumberFormat="1"/>
    <xf numFmtId="170" fontId="2" fillId="3" borderId="0" xfId="0" applyNumberFormat="1" applyFont="1" applyFill="1" applyAlignment="1">
      <alignment horizontal="center" vertical="center"/>
    </xf>
    <xf numFmtId="10" fontId="2" fillId="3" borderId="0" xfId="2" applyNumberFormat="1" applyFont="1" applyFill="1" applyAlignment="1">
      <alignment horizontal="center" vertical="center" wrapText="1"/>
    </xf>
    <xf numFmtId="43" fontId="2" fillId="3" borderId="0" xfId="1" applyFont="1" applyFill="1" applyAlignment="1">
      <alignment horizontal="center" vertical="center" wrapText="1"/>
    </xf>
    <xf numFmtId="0" fontId="0" fillId="4" borderId="0" xfId="0" applyFill="1"/>
    <xf numFmtId="0" fontId="4" fillId="4" borderId="0" xfId="0" applyFont="1" applyFill="1"/>
    <xf numFmtId="170" fontId="0" fillId="4" borderId="6" xfId="0" applyNumberFormat="1" applyFill="1" applyBorder="1" applyAlignment="1">
      <alignment horizontal="center"/>
    </xf>
    <xf numFmtId="1" fontId="0" fillId="4" borderId="6" xfId="1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70" fontId="0" fillId="4" borderId="7" xfId="0" applyNumberFormat="1" applyFill="1" applyBorder="1" applyAlignment="1">
      <alignment horizontal="center"/>
    </xf>
    <xf numFmtId="1" fontId="0" fillId="4" borderId="7" xfId="1" applyNumberFormat="1" applyFont="1" applyFill="1" applyBorder="1" applyAlignment="1">
      <alignment horizontal="center"/>
    </xf>
    <xf numFmtId="10" fontId="0" fillId="4" borderId="7" xfId="2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70" fontId="0" fillId="4" borderId="8" xfId="0" applyNumberFormat="1" applyFill="1" applyBorder="1" applyAlignment="1">
      <alignment horizontal="center"/>
    </xf>
    <xf numFmtId="1" fontId="0" fillId="4" borderId="8" xfId="1" applyNumberFormat="1" applyFont="1" applyFill="1" applyBorder="1" applyAlignment="1">
      <alignment horizontal="center"/>
    </xf>
    <xf numFmtId="10" fontId="0" fillId="4" borderId="8" xfId="2" applyNumberFormat="1" applyFon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70" fontId="0" fillId="4" borderId="0" xfId="0" applyNumberForma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10" fontId="3" fillId="4" borderId="4" xfId="2" applyNumberFormat="1" applyFont="1" applyFill="1" applyBorder="1" applyAlignment="1">
      <alignment horizontal="center"/>
    </xf>
    <xf numFmtId="167" fontId="3" fillId="4" borderId="4" xfId="0" applyNumberFormat="1" applyFont="1" applyFill="1" applyBorder="1" applyAlignment="1">
      <alignment horizontal="center"/>
    </xf>
    <xf numFmtId="10" fontId="0" fillId="4" borderId="0" xfId="2" applyNumberFormat="1" applyFont="1" applyFill="1"/>
    <xf numFmtId="0" fontId="3" fillId="4" borderId="4" xfId="0" applyFont="1" applyFill="1" applyBorder="1" applyAlignment="1">
      <alignment horizontal="center" wrapText="1"/>
    </xf>
    <xf numFmtId="10" fontId="3" fillId="4" borderId="4" xfId="2" applyNumberFormat="1" applyFont="1" applyFill="1" applyBorder="1" applyAlignment="1">
      <alignment horizontal="center" vertical="center"/>
    </xf>
    <xf numFmtId="168" fontId="3" fillId="4" borderId="4" xfId="2" applyNumberFormat="1" applyFont="1" applyFill="1" applyBorder="1" applyAlignment="1">
      <alignment horizontal="center"/>
    </xf>
    <xf numFmtId="169" fontId="3" fillId="4" borderId="4" xfId="2" applyNumberFormat="1" applyFont="1" applyFill="1" applyBorder="1" applyAlignment="1">
      <alignment horizontal="center" vertical="center"/>
    </xf>
    <xf numFmtId="167" fontId="3" fillId="4" borderId="4" xfId="1" applyNumberFormat="1" applyFont="1" applyFill="1" applyBorder="1" applyAlignment="1">
      <alignment horizontal="center"/>
    </xf>
    <xf numFmtId="167" fontId="3" fillId="4" borderId="4" xfId="0" applyNumberFormat="1" applyFont="1" applyFill="1" applyBorder="1" applyAlignment="1">
      <alignment horizontal="center" wrapText="1"/>
    </xf>
    <xf numFmtId="168" fontId="3" fillId="4" borderId="4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167" fontId="0" fillId="4" borderId="4" xfId="0" applyNumberFormat="1" applyFill="1" applyBorder="1"/>
    <xf numFmtId="170" fontId="0" fillId="4" borderId="0" xfId="0" applyNumberFormat="1" applyFill="1"/>
    <xf numFmtId="0" fontId="0" fillId="4" borderId="4" xfId="0" applyFill="1" applyBorder="1"/>
    <xf numFmtId="0" fontId="0" fillId="4" borderId="0" xfId="0" applyFill="1" applyAlignment="1">
      <alignment horizontal="center"/>
    </xf>
    <xf numFmtId="10" fontId="0" fillId="4" borderId="10" xfId="2" applyNumberFormat="1" applyFont="1" applyFill="1" applyBorder="1"/>
    <xf numFmtId="169" fontId="0" fillId="5" borderId="11" xfId="0" applyNumberFormat="1" applyFill="1" applyBorder="1" applyAlignment="1">
      <alignment horizontal="center"/>
    </xf>
    <xf numFmtId="168" fontId="3" fillId="4" borderId="10" xfId="2" applyNumberFormat="1" applyFont="1" applyFill="1" applyBorder="1" applyAlignment="1">
      <alignment vertical="center"/>
    </xf>
    <xf numFmtId="0" fontId="3" fillId="4" borderId="12" xfId="0" applyFont="1" applyFill="1" applyBorder="1"/>
    <xf numFmtId="164" fontId="0" fillId="4" borderId="2" xfId="0" applyNumberFormat="1" applyFill="1" applyBorder="1"/>
    <xf numFmtId="169" fontId="0" fillId="4" borderId="14" xfId="0" applyNumberFormat="1" applyFill="1" applyBorder="1" applyAlignment="1">
      <alignment horizontal="center"/>
    </xf>
    <xf numFmtId="10" fontId="6" fillId="4" borderId="15" xfId="2" applyNumberFormat="1" applyFont="1" applyFill="1" applyBorder="1"/>
    <xf numFmtId="0" fontId="6" fillId="4" borderId="16" xfId="0" applyFont="1" applyFill="1" applyBorder="1"/>
    <xf numFmtId="0" fontId="3" fillId="4" borderId="0" xfId="0" applyFont="1" applyFill="1" applyAlignment="1">
      <alignment horizontal="center" wrapText="1"/>
    </xf>
    <xf numFmtId="164" fontId="3" fillId="4" borderId="17" xfId="0" applyNumberFormat="1" applyFont="1" applyFill="1" applyBorder="1"/>
    <xf numFmtId="0" fontId="0" fillId="4" borderId="17" xfId="0" applyFill="1" applyBorder="1" applyAlignment="1">
      <alignment horizontal="center"/>
    </xf>
    <xf numFmtId="10" fontId="6" fillId="4" borderId="0" xfId="2" applyNumberFormat="1" applyFont="1" applyFill="1"/>
    <xf numFmtId="0" fontId="6" fillId="4" borderId="0" xfId="0" applyFont="1" applyFill="1"/>
    <xf numFmtId="0" fontId="3" fillId="4" borderId="0" xfId="0" applyFont="1" applyFill="1"/>
    <xf numFmtId="0" fontId="7" fillId="3" borderId="0" xfId="0" applyFont="1" applyFill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3" fontId="0" fillId="4" borderId="0" xfId="1" applyFont="1" applyFill="1"/>
    <xf numFmtId="164" fontId="3" fillId="4" borderId="20" xfId="0" applyNumberFormat="1" applyFont="1" applyFill="1" applyBorder="1"/>
    <xf numFmtId="0" fontId="0" fillId="4" borderId="20" xfId="0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 wrapText="1"/>
    </xf>
    <xf numFmtId="10" fontId="8" fillId="6" borderId="21" xfId="0" applyNumberFormat="1" applyFont="1" applyFill="1" applyBorder="1" applyAlignment="1">
      <alignment horizontal="center" vertical="center" wrapText="1"/>
    </xf>
    <xf numFmtId="164" fontId="8" fillId="6" borderId="21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0" fontId="10" fillId="7" borderId="22" xfId="0" applyNumberFormat="1" applyFont="1" applyFill="1" applyBorder="1" applyAlignment="1">
      <alignment horizontal="center" vertical="center" wrapText="1"/>
    </xf>
    <xf numFmtId="10" fontId="9" fillId="7" borderId="22" xfId="0" applyNumberFormat="1" applyFont="1" applyFill="1" applyBorder="1" applyAlignment="1">
      <alignment horizontal="center" vertical="center" wrapText="1"/>
    </xf>
    <xf numFmtId="172" fontId="6" fillId="7" borderId="1" xfId="2" applyNumberFormat="1" applyFont="1" applyFill="1" applyBorder="1" applyAlignment="1">
      <alignment vertical="center"/>
    </xf>
    <xf numFmtId="10" fontId="6" fillId="7" borderId="1" xfId="2" applyNumberFormat="1" applyFont="1" applyFill="1" applyBorder="1" applyAlignment="1">
      <alignment vertical="center"/>
    </xf>
    <xf numFmtId="173" fontId="9" fillId="7" borderId="2" xfId="0" applyNumberFormat="1" applyFont="1" applyFill="1" applyBorder="1" applyAlignment="1">
      <alignment horizontal="center" vertical="center" wrapText="1"/>
    </xf>
    <xf numFmtId="9" fontId="10" fillId="7" borderId="22" xfId="0" applyNumberFormat="1" applyFont="1" applyFill="1" applyBorder="1" applyAlignment="1">
      <alignment horizontal="center" vertical="center" wrapText="1"/>
    </xf>
    <xf numFmtId="9" fontId="9" fillId="7" borderId="22" xfId="0" applyNumberFormat="1" applyFont="1" applyFill="1" applyBorder="1" applyAlignment="1">
      <alignment horizontal="center" vertical="center" wrapText="1"/>
    </xf>
    <xf numFmtId="10" fontId="6" fillId="8" borderId="1" xfId="2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horizontal="center" vertical="center" wrapText="1"/>
    </xf>
    <xf numFmtId="9" fontId="10" fillId="9" borderId="22" xfId="0" applyNumberFormat="1" applyFont="1" applyFill="1" applyBorder="1" applyAlignment="1">
      <alignment horizontal="center" vertical="center" wrapText="1"/>
    </xf>
    <xf numFmtId="9" fontId="9" fillId="9" borderId="22" xfId="0" applyNumberFormat="1" applyFont="1" applyFill="1" applyBorder="1" applyAlignment="1">
      <alignment horizontal="center" vertical="center" wrapText="1"/>
    </xf>
    <xf numFmtId="10" fontId="6" fillId="9" borderId="1" xfId="2" applyNumberFormat="1" applyFont="1" applyFill="1" applyBorder="1" applyAlignment="1">
      <alignment vertical="center"/>
    </xf>
    <xf numFmtId="173" fontId="9" fillId="9" borderId="2" xfId="0" applyNumberFormat="1" applyFont="1" applyFill="1" applyBorder="1" applyAlignment="1">
      <alignment horizontal="center" vertical="center" wrapText="1"/>
    </xf>
    <xf numFmtId="10" fontId="6" fillId="9" borderId="19" xfId="2" applyNumberFormat="1" applyFont="1" applyFill="1" applyBorder="1" applyAlignment="1">
      <alignment vertical="center"/>
    </xf>
    <xf numFmtId="173" fontId="0" fillId="0" borderId="0" xfId="0" applyNumberFormat="1"/>
    <xf numFmtId="169" fontId="0" fillId="0" borderId="0" xfId="0" applyNumberFormat="1"/>
    <xf numFmtId="10" fontId="5" fillId="0" borderId="6" xfId="0" applyNumberFormat="1" applyFont="1" applyBorder="1" applyAlignment="1">
      <alignment horizontal="center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8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/>
    <xf numFmtId="10" fontId="0" fillId="0" borderId="6" xfId="0" applyNumberForma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0" fontId="0" fillId="0" borderId="8" xfId="0" applyBorder="1"/>
    <xf numFmtId="10" fontId="0" fillId="0" borderId="8" xfId="0" applyNumberForma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167" fontId="0" fillId="0" borderId="4" xfId="0" applyNumberFormat="1" applyBorder="1" applyAlignment="1">
      <alignment horizontal="center"/>
    </xf>
    <xf numFmtId="167" fontId="0" fillId="0" borderId="4" xfId="0" applyNumberFormat="1" applyBorder="1"/>
    <xf numFmtId="167" fontId="0" fillId="0" borderId="4" xfId="0" applyNumberFormat="1" applyBorder="1" applyAlignment="1">
      <alignment horizontal="center" vertical="top" wrapText="1"/>
    </xf>
    <xf numFmtId="169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169" fontId="0" fillId="0" borderId="4" xfId="0" applyNumberFormat="1" applyBorder="1"/>
    <xf numFmtId="10" fontId="0" fillId="0" borderId="4" xfId="0" applyNumberFormat="1" applyBorder="1" applyAlignment="1">
      <alignment horizontal="center"/>
    </xf>
    <xf numFmtId="174" fontId="0" fillId="0" borderId="4" xfId="0" applyNumberFormat="1" applyBorder="1"/>
    <xf numFmtId="0" fontId="5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5" fontId="1" fillId="0" borderId="4" xfId="2" applyNumberFormat="1" applyBorder="1" applyAlignment="1">
      <alignment horizontal="center"/>
    </xf>
    <xf numFmtId="0" fontId="4" fillId="3" borderId="0" xfId="0" applyFont="1" applyFill="1"/>
    <xf numFmtId="0" fontId="2" fillId="3" borderId="6" xfId="0" applyFont="1" applyFill="1" applyBorder="1" applyAlignment="1">
      <alignment horizontal="center" vertical="top" wrapText="1"/>
    </xf>
    <xf numFmtId="16" fontId="0" fillId="0" borderId="4" xfId="0" applyNumberFormat="1" applyBorder="1"/>
    <xf numFmtId="2" fontId="0" fillId="0" borderId="4" xfId="0" applyNumberFormat="1" applyBorder="1"/>
    <xf numFmtId="10" fontId="0" fillId="0" borderId="4" xfId="0" applyNumberFormat="1" applyBorder="1"/>
    <xf numFmtId="10" fontId="5" fillId="0" borderId="4" xfId="0" applyNumberFormat="1" applyFont="1" applyBorder="1" applyAlignment="1">
      <alignment horizontal="center" vertical="top" wrapText="1"/>
    </xf>
    <xf numFmtId="49" fontId="0" fillId="0" borderId="24" xfId="0" applyNumberFormat="1" applyBorder="1" applyAlignment="1">
      <alignment horizontal="center" vertical="top" wrapText="1"/>
    </xf>
    <xf numFmtId="165" fontId="0" fillId="0" borderId="6" xfId="0" applyNumberFormat="1" applyBorder="1" applyAlignment="1">
      <alignment horizontal="center" vertical="top" wrapText="1"/>
    </xf>
    <xf numFmtId="43" fontId="0" fillId="0" borderId="6" xfId="1" applyFont="1" applyBorder="1" applyAlignment="1">
      <alignment horizontal="left" vertical="top" wrapText="1"/>
    </xf>
    <xf numFmtId="43" fontId="0" fillId="0" borderId="6" xfId="1" applyFont="1" applyBorder="1" applyAlignment="1">
      <alignment vertical="top" wrapText="1"/>
    </xf>
    <xf numFmtId="10" fontId="1" fillId="0" borderId="25" xfId="2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10" fontId="1" fillId="0" borderId="4" xfId="2" applyNumberForma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5" fillId="0" borderId="4" xfId="0" applyFont="1" applyBorder="1" applyAlignment="1">
      <alignment horizontal="center" vertical="top" wrapText="1"/>
    </xf>
    <xf numFmtId="2" fontId="1" fillId="0" borderId="4" xfId="2" applyNumberFormat="1" applyBorder="1" applyAlignment="1">
      <alignment horizontal="center" vertical="top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17" fontId="0" fillId="4" borderId="0" xfId="0" applyNumberFormat="1" applyFill="1" applyAlignment="1">
      <alignment horizontal="center"/>
    </xf>
    <xf numFmtId="0" fontId="0" fillId="4" borderId="7" xfId="0" applyFill="1" applyBorder="1" applyAlignment="1">
      <alignment horizontal="center"/>
    </xf>
    <xf numFmtId="0" fontId="16" fillId="4" borderId="0" xfId="0" applyFont="1" applyFill="1"/>
    <xf numFmtId="2" fontId="0" fillId="4" borderId="7" xfId="0" applyNumberForma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8" fillId="4" borderId="0" xfId="0" applyFont="1" applyFill="1"/>
    <xf numFmtId="2" fontId="0" fillId="4" borderId="0" xfId="0" applyNumberFormat="1" applyFill="1"/>
    <xf numFmtId="0" fontId="18" fillId="4" borderId="27" xfId="0" applyFont="1" applyFill="1" applyBorder="1"/>
    <xf numFmtId="2" fontId="0" fillId="4" borderId="27" xfId="0" applyNumberFormat="1" applyFill="1" applyBorder="1"/>
    <xf numFmtId="0" fontId="17" fillId="3" borderId="0" xfId="0" applyFont="1" applyFill="1"/>
    <xf numFmtId="0" fontId="17" fillId="3" borderId="8" xfId="0" applyFont="1" applyFill="1" applyBorder="1" applyAlignment="1">
      <alignment horizontal="center"/>
    </xf>
    <xf numFmtId="2" fontId="19" fillId="4" borderId="23" xfId="0" applyNumberFormat="1" applyFont="1" applyFill="1" applyBorder="1" applyAlignment="1">
      <alignment horizontal="center"/>
    </xf>
    <xf numFmtId="2" fontId="19" fillId="4" borderId="28" xfId="0" applyNumberFormat="1" applyFont="1" applyFill="1" applyBorder="1" applyAlignment="1">
      <alignment horizontal="center"/>
    </xf>
    <xf numFmtId="2" fontId="19" fillId="4" borderId="29" xfId="0" applyNumberFormat="1" applyFont="1" applyFill="1" applyBorder="1" applyAlignment="1">
      <alignment horizontal="center"/>
    </xf>
    <xf numFmtId="0" fontId="17" fillId="11" borderId="30" xfId="0" applyFont="1" applyFill="1" applyBorder="1"/>
    <xf numFmtId="0" fontId="4" fillId="11" borderId="31" xfId="0" applyFont="1" applyFill="1" applyBorder="1"/>
    <xf numFmtId="0" fontId="19" fillId="4" borderId="32" xfId="0" applyFont="1" applyFill="1" applyBorder="1"/>
    <xf numFmtId="2" fontId="5" fillId="4" borderId="33" xfId="0" applyNumberFormat="1" applyFont="1" applyFill="1" applyBorder="1"/>
    <xf numFmtId="0" fontId="2" fillId="11" borderId="4" xfId="0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19" fillId="4" borderId="34" xfId="0" applyFont="1" applyFill="1" applyBorder="1"/>
    <xf numFmtId="0" fontId="19" fillId="4" borderId="36" xfId="0" applyFont="1" applyFill="1" applyBorder="1"/>
    <xf numFmtId="2" fontId="19" fillId="4" borderId="37" xfId="0" applyNumberFormat="1" applyFont="1" applyFill="1" applyBorder="1"/>
    <xf numFmtId="0" fontId="17" fillId="11" borderId="0" xfId="0" applyFont="1" applyFill="1"/>
    <xf numFmtId="0" fontId="4" fillId="11" borderId="4" xfId="0" applyFont="1" applyFill="1" applyBorder="1"/>
    <xf numFmtId="0" fontId="19" fillId="4" borderId="30" xfId="0" applyFont="1" applyFill="1" applyBorder="1"/>
    <xf numFmtId="176" fontId="5" fillId="4" borderId="0" xfId="0" applyNumberFormat="1" applyFont="1" applyFill="1"/>
    <xf numFmtId="0" fontId="3" fillId="4" borderId="38" xfId="0" applyFont="1" applyFill="1" applyBorder="1"/>
    <xf numFmtId="2" fontId="0" fillId="4" borderId="21" xfId="0" applyNumberFormat="1" applyFill="1" applyBorder="1"/>
    <xf numFmtId="43" fontId="1" fillId="4" borderId="0" xfId="1" applyFill="1"/>
    <xf numFmtId="0" fontId="17" fillId="4" borderId="0" xfId="0" applyFont="1" applyFill="1"/>
    <xf numFmtId="0" fontId="2" fillId="11" borderId="28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177" fontId="0" fillId="4" borderId="0" xfId="0" applyNumberFormat="1" applyFill="1"/>
    <xf numFmtId="0" fontId="2" fillId="4" borderId="0" xfId="0" applyFont="1" applyFill="1" applyAlignment="1">
      <alignment horizontal="center"/>
    </xf>
    <xf numFmtId="2" fontId="5" fillId="4" borderId="0" xfId="0" applyNumberFormat="1" applyFont="1" applyFill="1"/>
    <xf numFmtId="2" fontId="0" fillId="4" borderId="0" xfId="0" applyNumberFormat="1" applyFill="1" applyAlignment="1">
      <alignment horizontal="center"/>
    </xf>
    <xf numFmtId="2" fontId="0" fillId="4" borderId="8" xfId="0" applyNumberFormat="1" applyFill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0" fontId="0" fillId="0" borderId="4" xfId="0" applyNumberFormat="1" applyBorder="1" applyAlignment="1" applyProtection="1">
      <alignment horizontal="center"/>
      <protection locked="0"/>
    </xf>
    <xf numFmtId="173" fontId="0" fillId="4" borderId="0" xfId="0" applyNumberFormat="1" applyFill="1"/>
    <xf numFmtId="9" fontId="5" fillId="4" borderId="33" xfId="2" applyFont="1" applyFill="1" applyBorder="1"/>
    <xf numFmtId="9" fontId="5" fillId="4" borderId="35" xfId="2" applyFont="1" applyFill="1" applyBorder="1"/>
    <xf numFmtId="169" fontId="0" fillId="4" borderId="0" xfId="0" applyNumberFormat="1" applyFill="1"/>
    <xf numFmtId="2" fontId="0" fillId="10" borderId="0" xfId="0" applyNumberFormat="1" applyFill="1"/>
    <xf numFmtId="2" fontId="0" fillId="10" borderId="27" xfId="0" applyNumberFormat="1" applyFill="1" applyBorder="1"/>
    <xf numFmtId="0" fontId="21" fillId="4" borderId="4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169" fontId="20" fillId="4" borderId="45" xfId="0" applyNumberFormat="1" applyFont="1" applyFill="1" applyBorder="1" applyAlignment="1">
      <alignment horizontal="center" vertical="center"/>
    </xf>
    <xf numFmtId="169" fontId="20" fillId="4" borderId="45" xfId="0" applyNumberFormat="1" applyFont="1" applyFill="1" applyBorder="1" applyAlignment="1">
      <alignment horizontal="center" vertical="center" wrapText="1"/>
    </xf>
    <xf numFmtId="169" fontId="20" fillId="4" borderId="2" xfId="0" applyNumberFormat="1" applyFont="1" applyFill="1" applyBorder="1" applyAlignment="1">
      <alignment horizontal="center" vertical="center"/>
    </xf>
    <xf numFmtId="169" fontId="20" fillId="4" borderId="2" xfId="0" applyNumberFormat="1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vertical="center"/>
    </xf>
    <xf numFmtId="0" fontId="23" fillId="4" borderId="40" xfId="0" applyFont="1" applyFill="1" applyBorder="1" applyAlignment="1">
      <alignment vertical="center"/>
    </xf>
    <xf numFmtId="10" fontId="23" fillId="4" borderId="10" xfId="2" applyNumberFormat="1" applyFont="1" applyFill="1" applyBorder="1" applyAlignment="1">
      <alignment horizontal="center" vertical="center" wrapText="1"/>
    </xf>
    <xf numFmtId="10" fontId="23" fillId="4" borderId="10" xfId="2" applyNumberFormat="1" applyFont="1" applyFill="1" applyBorder="1" applyAlignment="1">
      <alignment horizontal="center" vertical="top"/>
    </xf>
    <xf numFmtId="0" fontId="23" fillId="4" borderId="47" xfId="0" applyFont="1" applyFill="1" applyBorder="1" applyAlignment="1">
      <alignment vertical="center"/>
    </xf>
    <xf numFmtId="0" fontId="23" fillId="4" borderId="39" xfId="0" applyFont="1" applyFill="1" applyBorder="1" applyAlignment="1">
      <alignment vertical="center" wrapText="1"/>
    </xf>
    <xf numFmtId="10" fontId="20" fillId="4" borderId="49" xfId="2" applyNumberFormat="1" applyFont="1" applyFill="1" applyBorder="1" applyAlignment="1">
      <alignment horizontal="center" vertical="center"/>
    </xf>
    <xf numFmtId="10" fontId="23" fillId="4" borderId="49" xfId="2" applyNumberFormat="1" applyFont="1" applyFill="1" applyBorder="1" applyAlignment="1">
      <alignment horizontal="center" vertical="center"/>
    </xf>
    <xf numFmtId="10" fontId="20" fillId="4" borderId="42" xfId="2" applyNumberFormat="1" applyFont="1" applyFill="1" applyBorder="1" applyAlignment="1">
      <alignment horizontal="center" vertical="center"/>
    </xf>
    <xf numFmtId="10" fontId="23" fillId="4" borderId="42" xfId="2" applyNumberFormat="1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vertical="center"/>
    </xf>
    <xf numFmtId="0" fontId="24" fillId="13" borderId="15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24" fillId="13" borderId="46" xfId="0" applyFont="1" applyFill="1" applyBorder="1" applyAlignment="1">
      <alignment vertical="center"/>
    </xf>
    <xf numFmtId="0" fontId="24" fillId="13" borderId="45" xfId="0" applyFont="1" applyFill="1" applyBorder="1" applyAlignment="1">
      <alignment vertical="center"/>
    </xf>
    <xf numFmtId="0" fontId="24" fillId="13" borderId="2" xfId="0" applyFont="1" applyFill="1" applyBorder="1" applyAlignment="1">
      <alignment vertical="center"/>
    </xf>
    <xf numFmtId="0" fontId="22" fillId="13" borderId="50" xfId="0" applyFont="1" applyFill="1" applyBorder="1" applyAlignment="1">
      <alignment vertical="center"/>
    </xf>
    <xf numFmtId="0" fontId="22" fillId="13" borderId="41" xfId="0" applyFont="1" applyFill="1" applyBorder="1" applyAlignment="1">
      <alignment vertical="center"/>
    </xf>
    <xf numFmtId="0" fontId="22" fillId="13" borderId="43" xfId="0" applyFont="1" applyFill="1" applyBorder="1" applyAlignment="1">
      <alignment horizontal="left" vertical="center"/>
    </xf>
    <xf numFmtId="0" fontId="26" fillId="4" borderId="0" xfId="0" applyFont="1" applyFill="1"/>
    <xf numFmtId="2" fontId="20" fillId="4" borderId="45" xfId="0" applyNumberFormat="1" applyFont="1" applyFill="1" applyBorder="1" applyAlignment="1">
      <alignment horizontal="center" vertical="center"/>
    </xf>
    <xf numFmtId="2" fontId="20" fillId="12" borderId="45" xfId="0" applyNumberFormat="1" applyFont="1" applyFill="1" applyBorder="1" applyAlignment="1">
      <alignment horizontal="center" vertical="center"/>
    </xf>
    <xf numFmtId="2" fontId="20" fillId="12" borderId="2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23" fillId="4" borderId="0" xfId="0" applyFont="1" applyFill="1"/>
    <xf numFmtId="2" fontId="20" fillId="4" borderId="46" xfId="0" applyNumberFormat="1" applyFont="1" applyFill="1" applyBorder="1" applyAlignment="1">
      <alignment horizontal="center" vertical="center"/>
    </xf>
    <xf numFmtId="10" fontId="23" fillId="4" borderId="2" xfId="2" applyNumberFormat="1" applyFont="1" applyFill="1" applyBorder="1" applyAlignment="1">
      <alignment horizontal="center"/>
    </xf>
    <xf numFmtId="2" fontId="20" fillId="4" borderId="22" xfId="2" applyNumberFormat="1" applyFont="1" applyFill="1" applyBorder="1" applyAlignment="1">
      <alignment horizontal="center" vertical="center"/>
    </xf>
    <xf numFmtId="0" fontId="27" fillId="13" borderId="18" xfId="0" applyFont="1" applyFill="1" applyBorder="1"/>
    <xf numFmtId="0" fontId="27" fillId="13" borderId="13" xfId="0" applyFont="1" applyFill="1" applyBorder="1"/>
    <xf numFmtId="0" fontId="24" fillId="13" borderId="50" xfId="0" applyFont="1" applyFill="1" applyBorder="1" applyAlignment="1">
      <alignment horizontal="center" vertical="center"/>
    </xf>
    <xf numFmtId="0" fontId="24" fillId="13" borderId="41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10" fontId="0" fillId="0" borderId="0" xfId="0" applyNumberFormat="1" applyBorder="1" applyAlignment="1">
      <alignment horizontal="center" vertical="top" wrapText="1"/>
    </xf>
    <xf numFmtId="2" fontId="0" fillId="4" borderId="31" xfId="0" applyNumberFormat="1" applyFill="1" applyBorder="1" applyAlignment="1">
      <alignment horizontal="center"/>
    </xf>
    <xf numFmtId="2" fontId="0" fillId="4" borderId="33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3" fillId="4" borderId="30" xfId="0" applyFont="1" applyFill="1" applyBorder="1"/>
    <xf numFmtId="2" fontId="0" fillId="4" borderId="31" xfId="0" applyNumberFormat="1" applyFill="1" applyBorder="1"/>
    <xf numFmtId="0" fontId="3" fillId="4" borderId="32" xfId="0" applyFont="1" applyFill="1" applyBorder="1"/>
    <xf numFmtId="2" fontId="0" fillId="4" borderId="33" xfId="0" applyNumberFormat="1" applyFill="1" applyBorder="1"/>
    <xf numFmtId="0" fontId="3" fillId="4" borderId="34" xfId="0" applyFont="1" applyFill="1" applyBorder="1"/>
    <xf numFmtId="2" fontId="0" fillId="4" borderId="35" xfId="0" applyNumberFormat="1" applyFill="1" applyBorder="1"/>
    <xf numFmtId="0" fontId="2" fillId="3" borderId="0" xfId="0" applyFont="1" applyFill="1" applyAlignment="1"/>
    <xf numFmtId="0" fontId="4" fillId="3" borderId="4" xfId="0" applyFont="1" applyFill="1" applyBorder="1" applyAlignment="1"/>
    <xf numFmtId="0" fontId="0" fillId="4" borderId="0" xfId="0" applyFill="1" applyAlignment="1"/>
    <xf numFmtId="0" fontId="3" fillId="4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10" fontId="6" fillId="4" borderId="1" xfId="2" applyNumberFormat="1" applyFont="1" applyFill="1" applyBorder="1" applyAlignment="1">
      <alignment horizontal="center" vertical="center"/>
    </xf>
    <xf numFmtId="10" fontId="6" fillId="4" borderId="2" xfId="2" applyNumberFormat="1" applyFont="1" applyFill="1" applyBorder="1" applyAlignment="1">
      <alignment horizontal="center" vertical="center"/>
    </xf>
    <xf numFmtId="171" fontId="6" fillId="4" borderId="1" xfId="1" applyNumberFormat="1" applyFont="1" applyFill="1" applyBorder="1" applyAlignment="1">
      <alignment horizontal="center" vertical="center"/>
    </xf>
    <xf numFmtId="171" fontId="6" fillId="4" borderId="2" xfId="1" applyNumberFormat="1" applyFont="1" applyFill="1" applyBorder="1" applyAlignment="1">
      <alignment horizontal="center" vertical="center"/>
    </xf>
    <xf numFmtId="10" fontId="3" fillId="4" borderId="4" xfId="2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5" fillId="3" borderId="38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2" fillId="13" borderId="38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 wrapText="1"/>
    </xf>
    <xf numFmtId="0" fontId="24" fillId="13" borderId="38" xfId="0" applyFont="1" applyFill="1" applyBorder="1" applyAlignment="1">
      <alignment horizontal="right" vertical="center"/>
    </xf>
    <xf numFmtId="0" fontId="24" fillId="13" borderId="21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9-4026-88FC-21BCC8B7DF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9-4026-88FC-21BCC8B7DF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P3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9-4026-88FC-21BCC8B7DF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P4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9-4026-88FC-21BCC8B7DF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P5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9-4026-88FC-21BCC8B7DF6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P6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9-4026-88FC-21BCC8B7DF6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P7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9-4026-88FC-21BCC8B7DF6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P8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9-4026-88FC-21BCC8B7DF6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09-4026-88FC-21BCC8B7DF6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P10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9-4026-88FC-21BCC8B7DF6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P11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09-4026-88FC-21BCC8B7D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3309-4026-88FC-21BCC8B7DF6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09-4026-88FC-21BCC8B7DF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09-4026-88FC-21BCC8B7DF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P13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09-4026-88FC-21BCC8B7DF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P14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09-4026-88FC-21BCC8B7DF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P15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09-4026-88FC-21BCC8B7DF6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P16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09-4026-88FC-21BCC8B7DF6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P17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09-4026-88FC-21BCC8B7DF6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P18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09-4026-88FC-21BCC8B7DF6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09-4026-88FC-21BCC8B7DF6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P20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09-4026-88FC-21BCC8B7DF6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P21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09-4026-88FC-21BCC8B7D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17-3309-4026-88FC-21BCC8B7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068008"/>
        <c:axId val="701069320"/>
      </c:scatterChart>
      <c:valAx>
        <c:axId val="701068008"/>
        <c:scaling>
          <c:orientation val="minMax"/>
          <c:min val="3.5000000000000003E-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069320"/>
        <c:crosses val="autoZero"/>
        <c:crossBetween val="midCat"/>
      </c:valAx>
      <c:valAx>
        <c:axId val="701069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06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Mean</a:t>
            </a:r>
            <a:r>
              <a:rPr lang="en-GB" baseline="0"/>
              <a:t>-Variance Opportunity Set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41233565535319"/>
          <c:y val="0.12551609998742286"/>
          <c:w val="0.82798729284951822"/>
          <c:h val="0.724218926948852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'EFFICIENT FRONTIER'!$L$23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'EFFICIENT FRONTIER'!$K$24:$K$53</c:f>
              <c:numCache>
                <c:formatCode>0.00</c:formatCode>
                <c:ptCount val="30"/>
                <c:pt idx="0">
                  <c:v>0.93002054939337875</c:v>
                </c:pt>
                <c:pt idx="1">
                  <c:v>1.0200205493933787</c:v>
                </c:pt>
                <c:pt idx="2">
                  <c:v>1.1100205493933788</c:v>
                </c:pt>
                <c:pt idx="3">
                  <c:v>1.2000205493933789</c:v>
                </c:pt>
                <c:pt idx="4">
                  <c:v>1.290020549393379</c:v>
                </c:pt>
                <c:pt idx="5">
                  <c:v>1.380020549393379</c:v>
                </c:pt>
                <c:pt idx="6">
                  <c:v>1.4700205493933791</c:v>
                </c:pt>
                <c:pt idx="7">
                  <c:v>1.5600205493933792</c:v>
                </c:pt>
                <c:pt idx="8">
                  <c:v>1.6500205493933793</c:v>
                </c:pt>
                <c:pt idx="9">
                  <c:v>1.7400205493933794</c:v>
                </c:pt>
                <c:pt idx="10">
                  <c:v>1.8300205493933794</c:v>
                </c:pt>
                <c:pt idx="11">
                  <c:v>1.9200205493933795</c:v>
                </c:pt>
                <c:pt idx="12">
                  <c:v>2.0100205493933796</c:v>
                </c:pt>
                <c:pt idx="13">
                  <c:v>2.1000205493933795</c:v>
                </c:pt>
                <c:pt idx="14">
                  <c:v>2.1900205493933793</c:v>
                </c:pt>
                <c:pt idx="15">
                  <c:v>2.2800205493933792</c:v>
                </c:pt>
                <c:pt idx="16">
                  <c:v>2.370020549393379</c:v>
                </c:pt>
                <c:pt idx="17">
                  <c:v>2.4600205493933789</c:v>
                </c:pt>
                <c:pt idx="18">
                  <c:v>2.5500205493933787</c:v>
                </c:pt>
                <c:pt idx="19">
                  <c:v>2.6400205493933786</c:v>
                </c:pt>
                <c:pt idx="20">
                  <c:v>2.7300205493933785</c:v>
                </c:pt>
                <c:pt idx="21">
                  <c:v>2.8200205493933783</c:v>
                </c:pt>
                <c:pt idx="22">
                  <c:v>2.9100205493933782</c:v>
                </c:pt>
                <c:pt idx="23">
                  <c:v>3.000020549393378</c:v>
                </c:pt>
                <c:pt idx="24">
                  <c:v>3.0900205493933779</c:v>
                </c:pt>
                <c:pt idx="25">
                  <c:v>3.1800205493933777</c:v>
                </c:pt>
                <c:pt idx="26">
                  <c:v>3.2700205493933776</c:v>
                </c:pt>
                <c:pt idx="27">
                  <c:v>3.3600205493933775</c:v>
                </c:pt>
                <c:pt idx="28">
                  <c:v>3.4500205493933773</c:v>
                </c:pt>
                <c:pt idx="29">
                  <c:v>3.5400205493933772</c:v>
                </c:pt>
              </c:numCache>
            </c:numRef>
          </c:xVal>
          <c:yVal>
            <c:numRef>
              <c:f>'EFFICIENT FRONTIER'!$L$24:$L$53</c:f>
              <c:numCache>
                <c:formatCode>0.00</c:formatCode>
                <c:ptCount val="30"/>
                <c:pt idx="0">
                  <c:v>0.26849877051154736</c:v>
                </c:pt>
                <c:pt idx="1">
                  <c:v>0.34336144335326202</c:v>
                </c:pt>
                <c:pt idx="2">
                  <c:v>0.38066794131846127</c:v>
                </c:pt>
                <c:pt idx="3">
                  <c:v>0.41165510129060595</c:v>
                </c:pt>
                <c:pt idx="4">
                  <c:v>0.43945456277766737</c:v>
                </c:pt>
                <c:pt idx="5">
                  <c:v>0.46530684383208165</c:v>
                </c:pt>
                <c:pt idx="6">
                  <c:v>0.48984274075057432</c:v>
                </c:pt>
                <c:pt idx="7">
                  <c:v>0.51343112726811058</c:v>
                </c:pt>
                <c:pt idx="8">
                  <c:v>0.53459699938638339</c:v>
                </c:pt>
                <c:pt idx="9">
                  <c:v>0.55288932307586836</c:v>
                </c:pt>
                <c:pt idx="10">
                  <c:v>0.56948558267763927</c:v>
                </c:pt>
                <c:pt idx="11">
                  <c:v>0.58495067090623376</c:v>
                </c:pt>
                <c:pt idx="12">
                  <c:v>0.59960463002052433</c:v>
                </c:pt>
                <c:pt idx="13">
                  <c:v>0.61364728253570133</c:v>
                </c:pt>
                <c:pt idx="14">
                  <c:v>0.62721200190377535</c:v>
                </c:pt>
                <c:pt idx="15">
                  <c:v>0.64039442550511905</c:v>
                </c:pt>
                <c:pt idx="16">
                  <c:v>0.65326395657686998</c:v>
                </c:pt>
                <c:pt idx="17">
                  <c:v>0.66587226072692596</c:v>
                </c:pt>
                <c:pt idx="18">
                  <c:v>0.67826040389171138</c:v>
                </c:pt>
                <c:pt idx="19">
                  <c:v>0.69046043622228737</c:v>
                </c:pt>
                <c:pt idx="20">
                  <c:v>0.70249813836022712</c:v>
                </c:pt>
                <c:pt idx="21">
                  <c:v>0.71439453265210029</c:v>
                </c:pt>
                <c:pt idx="22">
                  <c:v>0.72616686192742397</c:v>
                </c:pt>
                <c:pt idx="23">
                  <c:v>0.73782961641476108</c:v>
                </c:pt>
                <c:pt idx="24">
                  <c:v>0.74939500569683037</c:v>
                </c:pt>
                <c:pt idx="25">
                  <c:v>0.76087323997746115</c:v>
                </c:pt>
                <c:pt idx="26">
                  <c:v>0.77227375949382937</c:v>
                </c:pt>
                <c:pt idx="27">
                  <c:v>0.78360365338248739</c:v>
                </c:pt>
                <c:pt idx="28">
                  <c:v>0.79486977329527886</c:v>
                </c:pt>
                <c:pt idx="29">
                  <c:v>0.80607817927589298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15-40CC-ADE9-48A26DCDDB14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'EFFICIENT FRONTIER'!$K$54:$K$59</c:f>
              <c:numCache>
                <c:formatCode>0.00</c:formatCode>
                <c:ptCount val="6"/>
                <c:pt idx="0">
                  <c:v>0.93002054939337875</c:v>
                </c:pt>
                <c:pt idx="1">
                  <c:v>1.0200205493933787</c:v>
                </c:pt>
                <c:pt idx="2">
                  <c:v>1.1100205493933788</c:v>
                </c:pt>
                <c:pt idx="3">
                  <c:v>1.2000205493933789</c:v>
                </c:pt>
                <c:pt idx="4">
                  <c:v>1.290020549393379</c:v>
                </c:pt>
                <c:pt idx="5">
                  <c:v>1.380020549393379</c:v>
                </c:pt>
              </c:numCache>
            </c:numRef>
          </c:xVal>
          <c:yVal>
            <c:numRef>
              <c:f>'EFFICIENT FRONTIER'!$L$54:$L$59</c:f>
              <c:numCache>
                <c:formatCode>0.00</c:formatCode>
                <c:ptCount val="6"/>
                <c:pt idx="0">
                  <c:v>0.26849712203348064</c:v>
                </c:pt>
                <c:pt idx="1">
                  <c:v>0.1965531013246522</c:v>
                </c:pt>
                <c:pt idx="2">
                  <c:v>0.16443145174120172</c:v>
                </c:pt>
                <c:pt idx="3">
                  <c:v>0.13826159856846354</c:v>
                </c:pt>
                <c:pt idx="4">
                  <c:v>0.11496946981855417</c:v>
                </c:pt>
                <c:pt idx="5">
                  <c:v>9.3403409059745035E-2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15-40CC-ADE9-48A26DCDDB14}"/>
            </c:ext>
          </c:extLst>
        </c:ser>
        <c:ser>
          <c:idx val="2"/>
          <c:order val="2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'EFFICIENT FRONTIER'!$R$23:$R$33</c:f>
              <c:numCache>
                <c:formatCode>0.00</c:formatCode>
                <c:ptCount val="11"/>
                <c:pt idx="0">
                  <c:v>1.6942599883643135</c:v>
                </c:pt>
                <c:pt idx="1">
                  <c:v>0</c:v>
                </c:pt>
                <c:pt idx="2">
                  <c:v>0.4</c:v>
                </c:pt>
                <c:pt idx="3">
                  <c:v>0.8</c:v>
                </c:pt>
                <c:pt idx="4">
                  <c:v>1.2000000000000002</c:v>
                </c:pt>
                <c:pt idx="5">
                  <c:v>1.6</c:v>
                </c:pt>
                <c:pt idx="6">
                  <c:v>2</c:v>
                </c:pt>
                <c:pt idx="7">
                  <c:v>2.4</c:v>
                </c:pt>
                <c:pt idx="8">
                  <c:v>2.8</c:v>
                </c:pt>
                <c:pt idx="9">
                  <c:v>3.1999999999999997</c:v>
                </c:pt>
                <c:pt idx="10">
                  <c:v>3.5999999999999996</c:v>
                </c:pt>
              </c:numCache>
            </c:numRef>
          </c:xVal>
          <c:yVal>
            <c:numRef>
              <c:f>'EFFICIENT FRONTIER'!$Q$23:$Q$33</c:f>
              <c:numCache>
                <c:formatCode>0.00</c:formatCode>
                <c:ptCount val="11"/>
                <c:pt idx="0">
                  <c:v>0.54385242848034765</c:v>
                </c:pt>
                <c:pt idx="1">
                  <c:v>0.2</c:v>
                </c:pt>
                <c:pt idx="2">
                  <c:v>0.2811805580824257</c:v>
                </c:pt>
                <c:pt idx="3">
                  <c:v>0.36236111616485145</c:v>
                </c:pt>
                <c:pt idx="4">
                  <c:v>0.4435416742472772</c:v>
                </c:pt>
                <c:pt idx="5">
                  <c:v>0.52472223232970294</c:v>
                </c:pt>
                <c:pt idx="6">
                  <c:v>0.60590279041212858</c:v>
                </c:pt>
                <c:pt idx="7">
                  <c:v>0.68708334849455421</c:v>
                </c:pt>
                <c:pt idx="8">
                  <c:v>0.76826390657698007</c:v>
                </c:pt>
                <c:pt idx="9">
                  <c:v>0.84944446465940571</c:v>
                </c:pt>
                <c:pt idx="10">
                  <c:v>0.93062502274183134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3A-4FEC-B54B-566821ACE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440128"/>
        <c:axId val="436441112"/>
      </c:scatterChart>
      <c:valAx>
        <c:axId val="436440128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Standard</a:t>
                </a:r>
                <a:r>
                  <a:rPr lang="en-GB" baseline="0"/>
                  <a:t> Deviation (% per month)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9387098294530037"/>
              <c:y val="0.95339607743186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41112"/>
        <c:crosses val="autoZero"/>
        <c:crossBetween val="midCat"/>
      </c:valAx>
      <c:valAx>
        <c:axId val="43644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Mean</a:t>
                </a:r>
                <a:r>
                  <a:rPr lang="en-GB" baseline="0"/>
                  <a:t> Return (% per Month)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4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184150</xdr:rowOff>
    </xdr:from>
    <xdr:to>
      <xdr:col>1</xdr:col>
      <xdr:colOff>304800</xdr:colOff>
      <xdr:row>0</xdr:row>
      <xdr:rowOff>361950</xdr:rowOff>
    </xdr:to>
    <xdr:pic>
      <xdr:nvPicPr>
        <xdr:cNvPr id="2" name="Picture 1" descr="/var/folders/26/wkzll2wn1n3fwb70y1cdj9vw0000gn/T/com.microsoft.Excel/WebArchiveCopyPasteTempFiles/cidclip_image001.png">
          <a:extLst>
            <a:ext uri="{FF2B5EF4-FFF2-40B4-BE49-F238E27FC236}">
              <a16:creationId xmlns:a16="http://schemas.microsoft.com/office/drawing/2014/main" id="{76F546EA-3BF0-4975-AE9B-477D2D0B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374650"/>
          <a:ext cx="508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412750</xdr:colOff>
      <xdr:row>0</xdr:row>
      <xdr:rowOff>323850</xdr:rowOff>
    </xdr:from>
    <xdr:to>
      <xdr:col>2</xdr:col>
      <xdr:colOff>539750</xdr:colOff>
      <xdr:row>1</xdr:row>
      <xdr:rowOff>133350</xdr:rowOff>
    </xdr:to>
    <xdr:pic>
      <xdr:nvPicPr>
        <xdr:cNvPr id="3" name="Picture 2" descr="/var/folders/26/wkzll2wn1n3fwb70y1cdj9vw0000gn/T/com.microsoft.Excel/WebArchiveCopyPasteTempFiles/cidclip_image002.png">
          <a:extLst>
            <a:ext uri="{FF2B5EF4-FFF2-40B4-BE49-F238E27FC236}">
              <a16:creationId xmlns:a16="http://schemas.microsoft.com/office/drawing/2014/main" id="{204DD4E9-72EB-487F-8E99-311475C5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514350"/>
          <a:ext cx="12700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</xdr:row>
      <xdr:rowOff>0</xdr:rowOff>
    </xdr:from>
    <xdr:to>
      <xdr:col>5</xdr:col>
      <xdr:colOff>152400</xdr:colOff>
      <xdr:row>42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1D7C4-5F4B-4219-B2EA-676F6628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9874250"/>
          <a:ext cx="1524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596900</xdr:colOff>
      <xdr:row>32</xdr:row>
      <xdr:rowOff>228600</xdr:rowOff>
    </xdr:from>
    <xdr:to>
      <xdr:col>6</xdr:col>
      <xdr:colOff>177800</xdr:colOff>
      <xdr:row>34</xdr:row>
      <xdr:rowOff>120650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6523F67-19F1-4319-A2C6-391CEAE9486F}"/>
            </a:ext>
          </a:extLst>
        </xdr:cNvPr>
        <xdr:cNvCxnSpPr/>
      </xdr:nvCxnSpPr>
      <xdr:spPr>
        <a:xfrm flipH="1">
          <a:off x="3721100" y="7816850"/>
          <a:ext cx="2355850" cy="4318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165100</xdr:colOff>
      <xdr:row>32</xdr:row>
      <xdr:rowOff>95250</xdr:rowOff>
    </xdr:from>
    <xdr:to>
      <xdr:col>8</xdr:col>
      <xdr:colOff>101600</xdr:colOff>
      <xdr:row>33</xdr:row>
      <xdr:rowOff>349250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2C26BD-4F48-442B-87BE-CDCA77B84D2B}"/>
            </a:ext>
          </a:extLst>
        </xdr:cNvPr>
        <xdr:cNvSpPr txBox="1"/>
      </xdr:nvSpPr>
      <xdr:spPr>
        <a:xfrm>
          <a:off x="6064250" y="7683500"/>
          <a:ext cx="1231900" cy="444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>
              <a:solidFill>
                <a:srgbClr val="FF0000"/>
              </a:solidFill>
            </a:rPr>
            <a:t>Change Portfolio Weight of AG Equity Here</a:t>
          </a:r>
        </a:p>
      </xdr:txBody>
    </xdr:sp>
    <xdr:clientData/>
  </xdr:twoCellAnchor>
  <xdr:twoCellAnchor>
    <xdr:from>
      <xdr:col>7</xdr:col>
      <xdr:colOff>266700</xdr:colOff>
      <xdr:row>41</xdr:row>
      <xdr:rowOff>88900</xdr:rowOff>
    </xdr:from>
    <xdr:to>
      <xdr:col>14</xdr:col>
      <xdr:colOff>304800</xdr:colOff>
      <xdr:row>58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41D744-F6C7-472A-A5B3-285C51732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783165</xdr:colOff>
      <xdr:row>0</xdr:row>
      <xdr:rowOff>127705</xdr:rowOff>
    </xdr:from>
    <xdr:to>
      <xdr:col>258</xdr:col>
      <xdr:colOff>132291</xdr:colOff>
      <xdr:row>31</xdr:row>
      <xdr:rowOff>114653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B485DC-F4FA-4240-8933-96B3AF80F0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workbookViewId="0">
      <selection sqref="A1:XFD1"/>
    </sheetView>
  </sheetViews>
  <sheetFormatPr defaultColWidth="8.85546875" defaultRowHeight="15" x14ac:dyDescent="0.25"/>
  <cols>
    <col min="2" max="2" width="7.42578125" customWidth="1"/>
    <col min="3" max="3" width="11.140625" customWidth="1"/>
    <col min="4" max="4" width="8.85546875" bestFit="1" customWidth="1"/>
    <col min="5" max="5" width="11" customWidth="1"/>
    <col min="6" max="6" width="14.5703125" customWidth="1"/>
    <col min="7" max="7" width="11.140625" customWidth="1"/>
    <col min="9" max="9" width="9.85546875" customWidth="1"/>
    <col min="10" max="10" width="15" customWidth="1"/>
  </cols>
  <sheetData>
    <row r="1" spans="2:10" ht="30" x14ac:dyDescent="0.25">
      <c r="B1" s="280"/>
      <c r="C1" s="280" t="s">
        <v>0</v>
      </c>
      <c r="D1" s="280" t="s">
        <v>1</v>
      </c>
      <c r="E1" s="280" t="s">
        <v>2</v>
      </c>
      <c r="F1" s="280" t="s">
        <v>3</v>
      </c>
      <c r="G1" s="280" t="s">
        <v>4</v>
      </c>
      <c r="J1" s="277" t="s">
        <v>165</v>
      </c>
    </row>
    <row r="2" spans="2:10" ht="15.75" thickBot="1" x14ac:dyDescent="0.3">
      <c r="B2" s="281"/>
      <c r="C2" s="281"/>
      <c r="D2" s="281"/>
      <c r="E2" s="281"/>
      <c r="F2" s="281"/>
      <c r="G2" s="281"/>
      <c r="I2" s="130" t="s">
        <v>172</v>
      </c>
      <c r="J2" s="276"/>
    </row>
    <row r="3" spans="2:10" x14ac:dyDescent="0.25">
      <c r="B3" s="2">
        <v>0</v>
      </c>
      <c r="C3" s="3">
        <v>0</v>
      </c>
      <c r="D3" s="4">
        <v>43008</v>
      </c>
      <c r="E3" s="5">
        <v>202.36000100000001</v>
      </c>
      <c r="F3" s="6"/>
      <c r="G3" s="7"/>
      <c r="I3" s="130" t="s">
        <v>174</v>
      </c>
      <c r="J3" s="130"/>
    </row>
    <row r="4" spans="2:10" x14ac:dyDescent="0.25">
      <c r="B4" s="8">
        <v>1</v>
      </c>
      <c r="C4" s="9" t="s">
        <v>5</v>
      </c>
      <c r="D4" s="4">
        <v>43039</v>
      </c>
      <c r="E4" s="5">
        <v>227.85000600000001</v>
      </c>
      <c r="F4" s="10"/>
      <c r="G4" s="11">
        <f>(E4-E3)/E3</f>
        <v>0.12596365326169373</v>
      </c>
    </row>
    <row r="5" spans="2:10" x14ac:dyDescent="0.25">
      <c r="B5" s="8">
        <v>2</v>
      </c>
      <c r="C5" s="9" t="s">
        <v>6</v>
      </c>
      <c r="D5" s="4">
        <v>43069</v>
      </c>
      <c r="E5" s="5">
        <v>221.75</v>
      </c>
      <c r="F5" s="10"/>
      <c r="G5" s="11">
        <f>(E5-E4)/E4</f>
        <v>-2.6772024750352685E-2</v>
      </c>
    </row>
    <row r="6" spans="2:10" x14ac:dyDescent="0.25">
      <c r="B6" s="8">
        <v>3</v>
      </c>
      <c r="C6" s="9" t="s">
        <v>7</v>
      </c>
      <c r="D6" s="4">
        <v>43100</v>
      </c>
      <c r="E6" s="5">
        <v>246.75</v>
      </c>
      <c r="F6" s="10"/>
      <c r="G6" s="11">
        <f t="shared" ref="G6:G18" si="0">(E6-E5)/E5</f>
        <v>0.11273957158962795</v>
      </c>
    </row>
    <row r="7" spans="2:10" x14ac:dyDescent="0.25">
      <c r="B7" s="8">
        <v>4</v>
      </c>
      <c r="C7" s="9" t="s">
        <v>8</v>
      </c>
      <c r="D7" s="4">
        <v>43131</v>
      </c>
      <c r="E7" s="5">
        <v>259.959991</v>
      </c>
      <c r="F7" s="10"/>
      <c r="G7" s="11">
        <f>(E7+F7-E6)/E6</f>
        <v>5.3535931104356643E-2</v>
      </c>
    </row>
    <row r="8" spans="2:10" x14ac:dyDescent="0.25">
      <c r="B8" s="8">
        <v>5</v>
      </c>
      <c r="C8" s="9" t="s">
        <v>9</v>
      </c>
      <c r="D8" s="4">
        <v>43159</v>
      </c>
      <c r="E8" s="5">
        <v>252.58000200000001</v>
      </c>
      <c r="F8" s="10"/>
      <c r="G8" s="11">
        <f t="shared" si="0"/>
        <v>-2.8388941589092432E-2</v>
      </c>
    </row>
    <row r="9" spans="2:10" x14ac:dyDescent="0.25">
      <c r="B9" s="8">
        <v>6</v>
      </c>
      <c r="C9" s="9" t="s">
        <v>10</v>
      </c>
      <c r="D9" s="4">
        <v>43190</v>
      </c>
      <c r="E9" s="5">
        <v>249</v>
      </c>
      <c r="F9" s="12">
        <v>2.0499999999999998</v>
      </c>
      <c r="G9" s="11">
        <f>(E9+F9-E8)/E8</f>
        <v>-6.0574946071937875E-3</v>
      </c>
      <c r="H9" s="13"/>
      <c r="I9" s="13"/>
    </row>
    <row r="10" spans="2:10" x14ac:dyDescent="0.25">
      <c r="B10" s="8">
        <v>7</v>
      </c>
      <c r="C10" s="9" t="s">
        <v>11</v>
      </c>
      <c r="D10" s="4">
        <v>43220</v>
      </c>
      <c r="E10" s="5">
        <v>232.259995</v>
      </c>
      <c r="F10" s="10"/>
      <c r="G10" s="11">
        <f t="shared" si="0"/>
        <v>-6.7228935742971868E-2</v>
      </c>
    </row>
    <row r="11" spans="2:10" x14ac:dyDescent="0.25">
      <c r="B11" s="8">
        <v>8</v>
      </c>
      <c r="C11" s="9" t="s">
        <v>12</v>
      </c>
      <c r="D11" s="4">
        <v>43251</v>
      </c>
      <c r="E11" s="5">
        <v>220.61000100000001</v>
      </c>
      <c r="F11" s="10"/>
      <c r="G11" s="11">
        <f t="shared" si="0"/>
        <v>-5.0159279474711056E-2</v>
      </c>
    </row>
    <row r="12" spans="2:10" x14ac:dyDescent="0.25">
      <c r="B12" s="8">
        <v>9</v>
      </c>
      <c r="C12" s="9" t="s">
        <v>13</v>
      </c>
      <c r="D12" s="4">
        <v>43281</v>
      </c>
      <c r="E12" s="5">
        <v>217.679993</v>
      </c>
      <c r="F12" s="10"/>
      <c r="G12" s="11">
        <f t="shared" si="0"/>
        <v>-1.3281392442403438E-2</v>
      </c>
    </row>
    <row r="13" spans="2:10" x14ac:dyDescent="0.25">
      <c r="B13" s="8">
        <v>10</v>
      </c>
      <c r="C13" s="9" t="s">
        <v>14</v>
      </c>
      <c r="D13" s="4">
        <v>43312</v>
      </c>
      <c r="E13" s="5">
        <v>223.58999600000001</v>
      </c>
      <c r="F13" s="10"/>
      <c r="G13" s="11">
        <f t="shared" si="0"/>
        <v>2.7149959527975626E-2</v>
      </c>
    </row>
    <row r="14" spans="2:10" x14ac:dyDescent="0.25">
      <c r="B14" s="8">
        <v>11</v>
      </c>
      <c r="C14" s="9" t="s">
        <v>15</v>
      </c>
      <c r="D14" s="4">
        <v>43343</v>
      </c>
      <c r="E14" s="5">
        <v>191.65</v>
      </c>
      <c r="F14" s="10"/>
      <c r="G14" s="11">
        <f t="shared" si="0"/>
        <v>-0.14285073827721703</v>
      </c>
    </row>
    <row r="15" spans="2:10" x14ac:dyDescent="0.25">
      <c r="B15" s="8">
        <v>12</v>
      </c>
      <c r="C15" s="9" t="s">
        <v>16</v>
      </c>
      <c r="D15" s="4">
        <v>43373</v>
      </c>
      <c r="E15" s="5">
        <v>180.3</v>
      </c>
      <c r="F15" s="12">
        <v>2.79</v>
      </c>
      <c r="G15" s="11">
        <f>(E15+F15-E14)/E14</f>
        <v>-4.4664753456822345E-2</v>
      </c>
      <c r="H15" s="13"/>
      <c r="I15" s="13"/>
    </row>
    <row r="16" spans="2:10" x14ac:dyDescent="0.25">
      <c r="B16" s="8">
        <v>13</v>
      </c>
      <c r="C16" s="9" t="s">
        <v>17</v>
      </c>
      <c r="D16" s="4">
        <v>43404</v>
      </c>
      <c r="E16" s="5">
        <v>197.16</v>
      </c>
      <c r="F16" s="10"/>
      <c r="G16" s="11">
        <f t="shared" si="0"/>
        <v>9.3510815307820211E-2</v>
      </c>
    </row>
    <row r="17" spans="2:10" x14ac:dyDescent="0.25">
      <c r="B17" s="8">
        <v>14</v>
      </c>
      <c r="C17" s="9" t="s">
        <v>18</v>
      </c>
      <c r="D17" s="4">
        <v>43434</v>
      </c>
      <c r="E17" s="5">
        <v>190.15</v>
      </c>
      <c r="F17" s="10"/>
      <c r="G17" s="11">
        <f t="shared" si="0"/>
        <v>-3.5554879285859153E-2</v>
      </c>
      <c r="H17" s="14"/>
      <c r="I17" s="14"/>
    </row>
    <row r="18" spans="2:10" x14ac:dyDescent="0.25">
      <c r="B18" s="150">
        <v>15</v>
      </c>
      <c r="C18" s="17" t="s">
        <v>19</v>
      </c>
      <c r="D18" s="151">
        <v>43465</v>
      </c>
      <c r="E18" s="152">
        <v>185</v>
      </c>
      <c r="F18" s="153"/>
      <c r="G18" s="154">
        <f t="shared" si="0"/>
        <v>-2.7083881146463349E-2</v>
      </c>
      <c r="J18" s="15"/>
    </row>
    <row r="19" spans="2:10" x14ac:dyDescent="0.25">
      <c r="B19" s="130"/>
      <c r="C19" s="3"/>
      <c r="D19" s="3"/>
      <c r="E19" s="155" t="s">
        <v>20</v>
      </c>
      <c r="F19" s="130"/>
      <c r="G19" s="156">
        <f t="array" ref="G19">PRODUCT(1+G4:G18)-1</f>
        <v>-6.3997880660822348E-2</v>
      </c>
    </row>
    <row r="20" spans="2:10" x14ac:dyDescent="0.25">
      <c r="B20" s="130"/>
      <c r="C20" s="3"/>
      <c r="D20" s="3"/>
      <c r="E20" s="278" t="s">
        <v>175</v>
      </c>
      <c r="F20" s="279"/>
      <c r="G20" s="156">
        <f>(E18-E3)/E3</f>
        <v>-8.5787709597807377E-2</v>
      </c>
    </row>
    <row r="21" spans="2:10" x14ac:dyDescent="0.25">
      <c r="B21" s="130"/>
      <c r="C21" s="3"/>
      <c r="D21" s="3"/>
      <c r="E21" s="155" t="s">
        <v>21</v>
      </c>
      <c r="F21" s="3"/>
      <c r="G21" s="156">
        <f>(1+G19)^(12/15)-1</f>
        <v>-5.1534658503002984E-2</v>
      </c>
    </row>
    <row r="26" spans="2:10" x14ac:dyDescent="0.25">
      <c r="G26" s="15"/>
    </row>
  </sheetData>
  <mergeCells count="7">
    <mergeCell ref="E20:F20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9C3D-73E5-4DF9-BCBB-F400F415617A}">
  <dimension ref="A1:I22"/>
  <sheetViews>
    <sheetView workbookViewId="0">
      <selection sqref="A1:XFD1"/>
    </sheetView>
  </sheetViews>
  <sheetFormatPr defaultColWidth="8.85546875" defaultRowHeight="15" x14ac:dyDescent="0.25"/>
  <cols>
    <col min="1" max="1" width="11.42578125" customWidth="1"/>
    <col min="2" max="2" width="23.42578125" customWidth="1"/>
    <col min="3" max="3" width="26.85546875" customWidth="1"/>
    <col min="4" max="4" width="12.85546875" customWidth="1"/>
    <col min="6" max="6" width="30.42578125" customWidth="1"/>
  </cols>
  <sheetData>
    <row r="1" spans="1:9" ht="30" x14ac:dyDescent="0.25">
      <c r="A1" s="157" t="s">
        <v>1</v>
      </c>
      <c r="B1" s="157" t="s">
        <v>22</v>
      </c>
      <c r="C1" s="157" t="s">
        <v>23</v>
      </c>
      <c r="D1" s="157" t="s">
        <v>24</v>
      </c>
      <c r="F1" s="1" t="s">
        <v>166</v>
      </c>
    </row>
    <row r="2" spans="1:9" x14ac:dyDescent="0.25">
      <c r="A2" s="17" t="s">
        <v>25</v>
      </c>
      <c r="B2" s="18">
        <v>3.2000000000000001E-2</v>
      </c>
      <c r="C2" s="18">
        <v>4.02E-2</v>
      </c>
      <c r="D2" s="19">
        <f t="shared" ref="D2:D19" si="0">B2-C2</f>
        <v>-8.199999999999999E-3</v>
      </c>
      <c r="E2" t="s">
        <v>172</v>
      </c>
    </row>
    <row r="3" spans="1:9" x14ac:dyDescent="0.25">
      <c r="A3" s="20" t="s">
        <v>26</v>
      </c>
      <c r="B3" s="21">
        <v>0.04</v>
      </c>
      <c r="C3" s="21">
        <v>5.04E-2</v>
      </c>
      <c r="D3" s="22">
        <f t="shared" si="0"/>
        <v>-1.04E-2</v>
      </c>
      <c r="E3" t="s">
        <v>174</v>
      </c>
    </row>
    <row r="4" spans="1:9" x14ac:dyDescent="0.25">
      <c r="A4" s="20" t="s">
        <v>27</v>
      </c>
      <c r="B4" s="21">
        <v>5.2999999999999999E-2</v>
      </c>
      <c r="C4" s="21">
        <v>4.4299999999999999E-2</v>
      </c>
      <c r="D4" s="22">
        <f t="shared" si="0"/>
        <v>8.6999999999999994E-3</v>
      </c>
    </row>
    <row r="5" spans="1:9" x14ac:dyDescent="0.25">
      <c r="A5" s="20" t="s">
        <v>28</v>
      </c>
      <c r="B5" s="21">
        <v>2.1000000000000001E-2</v>
      </c>
      <c r="C5" s="21">
        <v>5.67E-2</v>
      </c>
      <c r="D5" s="22">
        <f t="shared" si="0"/>
        <v>-3.5699999999999996E-2</v>
      </c>
    </row>
    <row r="6" spans="1:9" x14ac:dyDescent="0.25">
      <c r="A6" s="20" t="s">
        <v>29</v>
      </c>
      <c r="B6" s="21">
        <v>1.2999999999999999E-2</v>
      </c>
      <c r="C6" s="21">
        <v>-4.5600000000000002E-2</v>
      </c>
      <c r="D6" s="22">
        <f t="shared" si="0"/>
        <v>5.8599999999999999E-2</v>
      </c>
      <c r="F6" s="23"/>
    </row>
    <row r="7" spans="1:9" x14ac:dyDescent="0.25">
      <c r="A7" s="20" t="s">
        <v>30</v>
      </c>
      <c r="B7" s="21">
        <v>-2.4E-2</v>
      </c>
      <c r="C7" s="21">
        <v>-4.4299999999999999E-2</v>
      </c>
      <c r="D7" s="22">
        <f t="shared" si="0"/>
        <v>2.0299999999999999E-2</v>
      </c>
      <c r="F7" s="24"/>
    </row>
    <row r="8" spans="1:9" x14ac:dyDescent="0.25">
      <c r="A8" s="20" t="s">
        <v>31</v>
      </c>
      <c r="B8" s="21">
        <v>-1.2999999999999999E-2</v>
      </c>
      <c r="C8" s="21">
        <v>3.3000000000000002E-2</v>
      </c>
      <c r="D8" s="22">
        <f t="shared" si="0"/>
        <v>-4.5999999999999999E-2</v>
      </c>
      <c r="F8" s="282"/>
      <c r="G8" s="282"/>
      <c r="H8" s="282"/>
      <c r="I8" s="282"/>
    </row>
    <row r="9" spans="1:9" x14ac:dyDescent="0.25">
      <c r="A9" s="20" t="s">
        <v>32</v>
      </c>
      <c r="B9" s="21">
        <v>-2.3E-2</v>
      </c>
      <c r="C9" s="21">
        <v>4.4299999999999999E-2</v>
      </c>
      <c r="D9" s="22">
        <f t="shared" si="0"/>
        <v>-6.7299999999999999E-2</v>
      </c>
      <c r="F9" s="24"/>
    </row>
    <row r="10" spans="1:9" x14ac:dyDescent="0.25">
      <c r="A10" s="20" t="s">
        <v>33</v>
      </c>
      <c r="B10" s="21">
        <v>4.2299999999999997E-2</v>
      </c>
      <c r="C10" s="21">
        <v>2.2200000000000001E-2</v>
      </c>
      <c r="D10" s="22">
        <f t="shared" si="0"/>
        <v>2.0099999999999996E-2</v>
      </c>
      <c r="F10" s="24"/>
    </row>
    <row r="11" spans="1:9" x14ac:dyDescent="0.25">
      <c r="A11" s="20" t="s">
        <v>34</v>
      </c>
      <c r="B11" s="21">
        <v>2.35E-2</v>
      </c>
      <c r="C11" s="21">
        <v>4.3200000000000002E-2</v>
      </c>
      <c r="D11" s="22">
        <f t="shared" si="0"/>
        <v>-1.9700000000000002E-2</v>
      </c>
      <c r="F11" s="24"/>
    </row>
    <row r="12" spans="1:9" x14ac:dyDescent="0.25">
      <c r="A12" s="20" t="s">
        <v>35</v>
      </c>
      <c r="B12" s="21">
        <v>5.4100000000000002E-2</v>
      </c>
      <c r="C12" s="21">
        <v>5.67E-2</v>
      </c>
      <c r="D12" s="22">
        <f t="shared" si="0"/>
        <v>-2.5999999999999981E-3</v>
      </c>
      <c r="F12" s="24"/>
    </row>
    <row r="13" spans="1:9" x14ac:dyDescent="0.25">
      <c r="A13" s="20" t="s">
        <v>36</v>
      </c>
      <c r="B13" s="21">
        <v>3.1E-2</v>
      </c>
      <c r="C13" s="21">
        <v>-7.4300000000000005E-2</v>
      </c>
      <c r="D13" s="22">
        <f t="shared" si="0"/>
        <v>0.1053</v>
      </c>
      <c r="F13" s="24"/>
    </row>
    <row r="14" spans="1:9" x14ac:dyDescent="0.25">
      <c r="A14" s="20" t="s">
        <v>37</v>
      </c>
      <c r="B14" s="21">
        <v>-1.2E-2</v>
      </c>
      <c r="C14" s="21">
        <v>-3.32E-2</v>
      </c>
      <c r="D14" s="22">
        <f t="shared" si="0"/>
        <v>2.12E-2</v>
      </c>
      <c r="F14" s="24"/>
    </row>
    <row r="15" spans="1:9" x14ac:dyDescent="0.25">
      <c r="A15" s="20" t="s">
        <v>38</v>
      </c>
      <c r="B15" s="21">
        <v>-2.1299999999999999E-2</v>
      </c>
      <c r="C15" s="21">
        <v>5.3999999999999999E-2</v>
      </c>
      <c r="D15" s="22">
        <f t="shared" si="0"/>
        <v>-7.5300000000000006E-2</v>
      </c>
      <c r="F15" s="24"/>
    </row>
    <row r="16" spans="1:9" x14ac:dyDescent="0.25">
      <c r="A16" s="20" t="s">
        <v>39</v>
      </c>
      <c r="B16" s="21">
        <v>-4.2000000000000003E-2</v>
      </c>
      <c r="C16" s="21">
        <v>-0.03</v>
      </c>
      <c r="D16" s="22">
        <f t="shared" si="0"/>
        <v>-1.2000000000000004E-2</v>
      </c>
      <c r="F16" s="24"/>
    </row>
    <row r="17" spans="1:6" x14ac:dyDescent="0.25">
      <c r="A17" s="20" t="s">
        <v>40</v>
      </c>
      <c r="B17" s="21">
        <v>3.8699999999999998E-2</v>
      </c>
      <c r="C17" s="21">
        <v>4.3299999999999998E-2</v>
      </c>
      <c r="D17" s="22">
        <f t="shared" si="0"/>
        <v>-4.5999999999999999E-3</v>
      </c>
      <c r="F17" s="24"/>
    </row>
    <row r="18" spans="1:6" x14ac:dyDescent="0.25">
      <c r="A18" s="20" t="s">
        <v>41</v>
      </c>
      <c r="B18" s="21">
        <v>-4.2299999999999997E-2</v>
      </c>
      <c r="C18" s="21">
        <v>-5.45E-2</v>
      </c>
      <c r="D18" s="22">
        <f t="shared" si="0"/>
        <v>1.2200000000000003E-2</v>
      </c>
      <c r="F18" s="24"/>
    </row>
    <row r="19" spans="1:6" x14ac:dyDescent="0.25">
      <c r="A19" s="25" t="s">
        <v>42</v>
      </c>
      <c r="B19" s="26">
        <v>5.4300000000000001E-2</v>
      </c>
      <c r="C19" s="26">
        <v>4.2999999999999997E-2</v>
      </c>
      <c r="D19" s="27">
        <f t="shared" si="0"/>
        <v>1.1300000000000004E-2</v>
      </c>
      <c r="F19" s="24"/>
    </row>
    <row r="20" spans="1:6" x14ac:dyDescent="0.25">
      <c r="A20" s="28"/>
      <c r="B20" s="18">
        <f t="array" ref="B20">PRODUCT(1+B2:B19)-1</f>
        <v>0.23912483170662124</v>
      </c>
      <c r="C20" s="18">
        <f t="array" ref="C20">PRODUCT(1+C2:C19)-1</f>
        <v>0.25850697296172309</v>
      </c>
      <c r="D20" s="18">
        <f>B20-C20</f>
        <v>-1.9382141255101848E-2</v>
      </c>
      <c r="F20" s="24"/>
    </row>
    <row r="21" spans="1:6" x14ac:dyDescent="0.25">
      <c r="A21" s="29"/>
      <c r="B21" s="26">
        <f t="array" ref="B21">PRODUCT(1+B2:B19)^(12/18)-1</f>
        <v>0.15365700326977683</v>
      </c>
      <c r="C21" s="26">
        <f t="array" ref="C21">PRODUCT(1+C2:C19)^(12/18)-1</f>
        <v>0.16565603750658431</v>
      </c>
      <c r="D21" s="26">
        <f t="shared" ref="D21" si="1">B21-C21</f>
        <v>-1.1999034236807482E-2</v>
      </c>
      <c r="F21" s="24"/>
    </row>
    <row r="22" spans="1:6" x14ac:dyDescent="0.25">
      <c r="F22" s="24"/>
    </row>
  </sheetData>
  <mergeCells count="1">
    <mergeCell ref="F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F034-6F79-4EB5-B503-D7B251DAE6C9}">
  <dimension ref="A1:N80"/>
  <sheetViews>
    <sheetView workbookViewId="0">
      <pane xSplit="7" ySplit="1" topLeftCell="H26" activePane="bottomRight" state="frozen"/>
      <selection pane="topRight" activeCell="H1" sqref="H1"/>
      <selection pane="bottomLeft" activeCell="A3" sqref="A3"/>
      <selection pane="bottomRight" activeCell="D35" sqref="D35"/>
    </sheetView>
  </sheetViews>
  <sheetFormatPr defaultColWidth="9.140625" defaultRowHeight="15" x14ac:dyDescent="0.25"/>
  <cols>
    <col min="1" max="1" width="10.42578125" bestFit="1" customWidth="1"/>
    <col min="2" max="2" width="10.85546875" customWidth="1"/>
    <col min="3" max="3" width="20.42578125" customWidth="1"/>
    <col min="4" max="4" width="8.42578125" customWidth="1"/>
    <col min="5" max="5" width="7.5703125" customWidth="1"/>
    <col min="6" max="7" width="7.42578125" customWidth="1"/>
    <col min="8" max="8" width="8.42578125" customWidth="1"/>
    <col min="9" max="9" width="3.140625" customWidth="1"/>
    <col min="10" max="10" width="11.42578125" bestFit="1" customWidth="1"/>
    <col min="11" max="11" width="20" bestFit="1" customWidth="1"/>
    <col min="12" max="12" width="10.140625" customWidth="1"/>
    <col min="13" max="13" width="35.42578125" customWidth="1"/>
  </cols>
  <sheetData>
    <row r="1" spans="1:14" ht="35.1" customHeight="1" x14ac:dyDescent="0.25">
      <c r="A1" s="157" t="s">
        <v>43</v>
      </c>
      <c r="B1" s="157" t="s">
        <v>1</v>
      </c>
      <c r="C1" s="157" t="s">
        <v>129</v>
      </c>
      <c r="D1" s="157" t="s">
        <v>130</v>
      </c>
      <c r="E1" s="157" t="s">
        <v>131</v>
      </c>
      <c r="F1" s="157" t="s">
        <v>132</v>
      </c>
      <c r="G1" s="157" t="s">
        <v>133</v>
      </c>
      <c r="H1" s="157" t="s">
        <v>134</v>
      </c>
      <c r="I1" s="30"/>
      <c r="J1" s="30" t="s">
        <v>44</v>
      </c>
      <c r="K1" s="30" t="s">
        <v>45</v>
      </c>
      <c r="L1" s="30" t="s">
        <v>46</v>
      </c>
      <c r="N1" s="1" t="s">
        <v>166</v>
      </c>
    </row>
    <row r="2" spans="1:14" x14ac:dyDescent="0.25">
      <c r="A2" s="3">
        <v>0</v>
      </c>
      <c r="B2" s="4">
        <v>42551</v>
      </c>
      <c r="C2" s="31">
        <v>303.13000499999998</v>
      </c>
      <c r="D2" s="3"/>
      <c r="E2" s="31">
        <v>136.89999399999999</v>
      </c>
      <c r="F2" s="3"/>
      <c r="G2" s="31">
        <v>203.300003</v>
      </c>
      <c r="H2" s="3"/>
      <c r="I2" s="16"/>
      <c r="J2" s="32">
        <f t="shared" ref="J2:J32" si="0">C2/$C$2*100</f>
        <v>100</v>
      </c>
      <c r="K2" s="32">
        <f t="shared" ref="K2:K32" si="1">E2/$E$2*100</f>
        <v>100</v>
      </c>
      <c r="L2" s="32">
        <f>G2/$G$2*100</f>
        <v>100</v>
      </c>
      <c r="M2" t="s">
        <v>172</v>
      </c>
    </row>
    <row r="3" spans="1:14" x14ac:dyDescent="0.25">
      <c r="A3" s="3">
        <v>1</v>
      </c>
      <c r="B3" s="4">
        <v>42582</v>
      </c>
      <c r="C3" s="31">
        <v>239.779999</v>
      </c>
      <c r="D3" s="33">
        <f>C3/C2-1</f>
        <v>-0.20898625987222874</v>
      </c>
      <c r="E3" s="31">
        <v>133.13999899999999</v>
      </c>
      <c r="F3" s="33">
        <f>E3/E2-1</f>
        <v>-2.7465267821706441E-2</v>
      </c>
      <c r="G3" s="31">
        <v>188.5</v>
      </c>
      <c r="H3" s="33">
        <f>G3/G2-1</f>
        <v>-7.279883316086333E-2</v>
      </c>
      <c r="I3" s="16"/>
      <c r="J3" s="32">
        <f t="shared" si="0"/>
        <v>79.101374012777129</v>
      </c>
      <c r="K3" s="32">
        <f t="shared" si="1"/>
        <v>97.253473217829352</v>
      </c>
      <c r="L3" s="32">
        <f t="shared" ref="L3:L32" si="2">G3/$G$2*100</f>
        <v>92.720116683913673</v>
      </c>
      <c r="M3" t="s">
        <v>174</v>
      </c>
    </row>
    <row r="4" spans="1:14" x14ac:dyDescent="0.25">
      <c r="A4" s="3">
        <v>2</v>
      </c>
      <c r="B4" s="4">
        <v>42613</v>
      </c>
      <c r="C4" s="31">
        <v>221.740005</v>
      </c>
      <c r="D4" s="33">
        <f t="shared" ref="D4:F32" si="3">C4/C3-1</f>
        <v>-7.5235607954106332E-2</v>
      </c>
      <c r="E4" s="31">
        <v>140.66999799999999</v>
      </c>
      <c r="F4" s="33">
        <f t="shared" si="3"/>
        <v>5.655700057501134E-2</v>
      </c>
      <c r="G4" s="31">
        <v>191.38999899999999</v>
      </c>
      <c r="H4" s="33">
        <f t="shared" ref="H4:H32" si="4">G4/G3-1</f>
        <v>1.5331559681697637E-2</v>
      </c>
      <c r="I4" s="16"/>
      <c r="J4" s="32">
        <f t="shared" si="0"/>
        <v>73.150134048920705</v>
      </c>
      <c r="K4" s="32">
        <f t="shared" si="1"/>
        <v>102.75383795853197</v>
      </c>
      <c r="L4" s="32">
        <f t="shared" si="2"/>
        <v>94.141660686547056</v>
      </c>
    </row>
    <row r="5" spans="1:14" x14ac:dyDescent="0.25">
      <c r="A5" s="3">
        <v>3</v>
      </c>
      <c r="B5" s="4">
        <v>42643</v>
      </c>
      <c r="C5" s="31">
        <v>197.300003</v>
      </c>
      <c r="D5" s="33">
        <f t="shared" si="3"/>
        <v>-0.11021918214532367</v>
      </c>
      <c r="E5" s="31">
        <v>140</v>
      </c>
      <c r="F5" s="33">
        <f t="shared" si="3"/>
        <v>-4.7629061599900879E-3</v>
      </c>
      <c r="G5" s="31">
        <v>199</v>
      </c>
      <c r="H5" s="33">
        <f t="shared" si="4"/>
        <v>3.976174847046221E-2</v>
      </c>
      <c r="I5" s="16"/>
      <c r="J5" s="32">
        <f t="shared" si="0"/>
        <v>65.087586100227853</v>
      </c>
      <c r="K5" s="32">
        <f t="shared" si="1"/>
        <v>102.26443107075667</v>
      </c>
      <c r="L5" s="32">
        <f t="shared" si="2"/>
        <v>97.884897719357141</v>
      </c>
    </row>
    <row r="6" spans="1:14" x14ac:dyDescent="0.25">
      <c r="A6" s="3">
        <v>4</v>
      </c>
      <c r="B6" s="4">
        <v>42674</v>
      </c>
      <c r="C6" s="31">
        <v>155.33999600000001</v>
      </c>
      <c r="D6" s="33">
        <f t="shared" si="3"/>
        <v>-0.21267109154580188</v>
      </c>
      <c r="E6" s="31">
        <v>151</v>
      </c>
      <c r="F6" s="33">
        <f t="shared" si="3"/>
        <v>7.8571428571428514E-2</v>
      </c>
      <c r="G6" s="31">
        <v>186.94000199999999</v>
      </c>
      <c r="H6" s="33">
        <f t="shared" si="4"/>
        <v>-6.0603005025125611E-2</v>
      </c>
      <c r="I6" s="16"/>
      <c r="J6" s="32">
        <f t="shared" si="0"/>
        <v>51.245338118211038</v>
      </c>
      <c r="K6" s="32">
        <f t="shared" si="1"/>
        <v>110.29949351203041</v>
      </c>
      <c r="L6" s="32">
        <f t="shared" si="2"/>
        <v>91.952778770987038</v>
      </c>
    </row>
    <row r="7" spans="1:14" x14ac:dyDescent="0.25">
      <c r="A7" s="3">
        <v>5</v>
      </c>
      <c r="B7" s="4">
        <v>42704</v>
      </c>
      <c r="C7" s="31">
        <v>152.58000200000001</v>
      </c>
      <c r="D7" s="33">
        <f t="shared" si="3"/>
        <v>-1.7767439623212034E-2</v>
      </c>
      <c r="E7" s="31">
        <v>151.75</v>
      </c>
      <c r="F7" s="33">
        <f t="shared" si="3"/>
        <v>4.9668874172186239E-3</v>
      </c>
      <c r="G7" s="31">
        <v>171.46000699999999</v>
      </c>
      <c r="H7" s="33">
        <f t="shared" si="4"/>
        <v>-8.2807290223523178E-2</v>
      </c>
      <c r="I7" s="16"/>
      <c r="J7" s="32">
        <f t="shared" si="0"/>
        <v>50.334839667224628</v>
      </c>
      <c r="K7" s="32">
        <f t="shared" si="1"/>
        <v>110.8473386784809</v>
      </c>
      <c r="L7" s="32">
        <f t="shared" si="2"/>
        <v>84.338418332438479</v>
      </c>
    </row>
    <row r="8" spans="1:14" x14ac:dyDescent="0.25">
      <c r="A8" s="3">
        <v>6</v>
      </c>
      <c r="B8" s="4">
        <v>42735</v>
      </c>
      <c r="C8" s="31">
        <v>169.88999899999999</v>
      </c>
      <c r="D8" s="33">
        <f t="shared" si="3"/>
        <v>0.11344866150938948</v>
      </c>
      <c r="E8" s="31">
        <v>143.91999799999999</v>
      </c>
      <c r="F8" s="33">
        <f t="shared" si="3"/>
        <v>-5.1598036243822087E-2</v>
      </c>
      <c r="G8" s="31">
        <v>179</v>
      </c>
      <c r="H8" s="33">
        <f t="shared" si="4"/>
        <v>4.3975228579105297E-2</v>
      </c>
      <c r="I8" s="16"/>
      <c r="J8" s="32">
        <f t="shared" si="0"/>
        <v>56.045259854760999</v>
      </c>
      <c r="K8" s="32">
        <f t="shared" si="1"/>
        <v>105.1278336798174</v>
      </c>
      <c r="L8" s="32">
        <f t="shared" si="2"/>
        <v>88.047219556607686</v>
      </c>
    </row>
    <row r="9" spans="1:14" x14ac:dyDescent="0.25">
      <c r="A9" s="3">
        <v>7</v>
      </c>
      <c r="B9" s="4">
        <v>42766</v>
      </c>
      <c r="C9" s="31">
        <v>145.61000100000001</v>
      </c>
      <c r="D9" s="33">
        <f t="shared" si="3"/>
        <v>-0.14291599354238604</v>
      </c>
      <c r="E9" s="31">
        <v>143.75</v>
      </c>
      <c r="F9" s="33">
        <f t="shared" si="3"/>
        <v>-1.1811979041299603E-3</v>
      </c>
      <c r="G9" s="31">
        <v>189.25</v>
      </c>
      <c r="H9" s="33">
        <f t="shared" si="4"/>
        <v>5.7262569832402299E-2</v>
      </c>
      <c r="I9" s="16"/>
      <c r="J9" s="32">
        <f t="shared" si="0"/>
        <v>48.035495859276622</v>
      </c>
      <c r="K9" s="32">
        <f t="shared" si="1"/>
        <v>105.00365690300907</v>
      </c>
      <c r="L9" s="32">
        <f t="shared" si="2"/>
        <v>93.08902961501677</v>
      </c>
    </row>
    <row r="10" spans="1:14" x14ac:dyDescent="0.25">
      <c r="A10" s="3">
        <v>8</v>
      </c>
      <c r="B10" s="4">
        <v>42794</v>
      </c>
      <c r="C10" s="31">
        <v>130.75</v>
      </c>
      <c r="D10" s="33">
        <f t="shared" si="3"/>
        <v>-0.10205343656305588</v>
      </c>
      <c r="E10" s="31">
        <v>143.75</v>
      </c>
      <c r="F10" s="33">
        <f t="shared" si="3"/>
        <v>0</v>
      </c>
      <c r="G10" s="31">
        <v>193.60000600000001</v>
      </c>
      <c r="H10" s="33">
        <f t="shared" si="4"/>
        <v>2.2985500660501978E-2</v>
      </c>
      <c r="I10" s="16"/>
      <c r="J10" s="32">
        <f t="shared" si="0"/>
        <v>43.133308429826997</v>
      </c>
      <c r="K10" s="32">
        <f t="shared" si="1"/>
        <v>105.00365690300907</v>
      </c>
      <c r="L10" s="32">
        <f t="shared" si="2"/>
        <v>95.228727566718234</v>
      </c>
    </row>
    <row r="11" spans="1:14" x14ac:dyDescent="0.25">
      <c r="A11" s="3">
        <v>9</v>
      </c>
      <c r="B11" s="4">
        <v>42825</v>
      </c>
      <c r="C11" s="31">
        <v>152.14999399999999</v>
      </c>
      <c r="D11" s="33">
        <f t="shared" si="3"/>
        <v>0.16367108221797322</v>
      </c>
      <c r="E11" s="31">
        <v>148.36000100000001</v>
      </c>
      <c r="F11" s="33">
        <f t="shared" si="3"/>
        <v>3.2069572173913041E-2</v>
      </c>
      <c r="G11" s="31">
        <v>209.800003</v>
      </c>
      <c r="H11" s="33">
        <f t="shared" si="4"/>
        <v>8.367766786122921E-2</v>
      </c>
      <c r="I11" s="16"/>
      <c r="J11" s="32">
        <f t="shared" si="0"/>
        <v>50.192983700178409</v>
      </c>
      <c r="K11" s="32">
        <f t="shared" si="1"/>
        <v>108.37107925658493</v>
      </c>
      <c r="L11" s="32">
        <f t="shared" si="2"/>
        <v>103.19724540289357</v>
      </c>
    </row>
    <row r="12" spans="1:14" x14ac:dyDescent="0.25">
      <c r="A12" s="3">
        <v>10</v>
      </c>
      <c r="B12" s="4">
        <v>42855</v>
      </c>
      <c r="C12" s="31">
        <v>160.44000199999999</v>
      </c>
      <c r="D12" s="33">
        <f t="shared" si="3"/>
        <v>5.4485759624808061E-2</v>
      </c>
      <c r="E12" s="31">
        <v>150.61999499999999</v>
      </c>
      <c r="F12" s="33">
        <f t="shared" si="3"/>
        <v>1.5233175955559508E-2</v>
      </c>
      <c r="G12" s="31">
        <v>209</v>
      </c>
      <c r="H12" s="33">
        <f t="shared" si="4"/>
        <v>-3.8131696308889573E-3</v>
      </c>
      <c r="I12" s="16"/>
      <c r="J12" s="32">
        <f t="shared" si="0"/>
        <v>52.927786544918241</v>
      </c>
      <c r="K12" s="32">
        <f t="shared" si="1"/>
        <v>110.02191497539438</v>
      </c>
      <c r="L12" s="32">
        <f t="shared" si="2"/>
        <v>102.80373680073187</v>
      </c>
    </row>
    <row r="13" spans="1:14" x14ac:dyDescent="0.25">
      <c r="A13" s="3">
        <v>11</v>
      </c>
      <c r="B13" s="4">
        <v>42886</v>
      </c>
      <c r="C13" s="31">
        <v>128.44000199999999</v>
      </c>
      <c r="D13" s="33">
        <f t="shared" si="3"/>
        <v>-0.19945150586572546</v>
      </c>
      <c r="E13" s="31">
        <v>144.03999300000001</v>
      </c>
      <c r="F13" s="33">
        <f t="shared" si="3"/>
        <v>-4.3686112192474758E-2</v>
      </c>
      <c r="G13" s="31">
        <v>199.38000500000001</v>
      </c>
      <c r="H13" s="33">
        <f t="shared" si="4"/>
        <v>-4.6028684210526305E-2</v>
      </c>
      <c r="I13" s="16"/>
      <c r="J13" s="32">
        <f t="shared" si="0"/>
        <v>42.37125981639462</v>
      </c>
      <c r="K13" s="32">
        <f t="shared" si="1"/>
        <v>105.21548525414839</v>
      </c>
      <c r="L13" s="32">
        <f t="shared" si="2"/>
        <v>98.071816063868923</v>
      </c>
    </row>
    <row r="14" spans="1:14" x14ac:dyDescent="0.25">
      <c r="A14" s="3">
        <v>12</v>
      </c>
      <c r="B14" s="4">
        <v>42916</v>
      </c>
      <c r="C14" s="31">
        <v>128.75</v>
      </c>
      <c r="D14" s="33">
        <f t="shared" si="3"/>
        <v>2.4135627154537875E-3</v>
      </c>
      <c r="E14" s="31">
        <v>158.800003</v>
      </c>
      <c r="F14" s="33">
        <f t="shared" si="3"/>
        <v>0.10247161008956729</v>
      </c>
      <c r="G14" s="31">
        <v>201.679993</v>
      </c>
      <c r="H14" s="33">
        <f t="shared" si="4"/>
        <v>1.1535700382794056E-2</v>
      </c>
      <c r="I14" s="16"/>
      <c r="J14" s="32">
        <f t="shared" si="0"/>
        <v>42.473525509294277</v>
      </c>
      <c r="K14" s="32">
        <f t="shared" si="1"/>
        <v>115.9970854344961</v>
      </c>
      <c r="L14" s="32">
        <f t="shared" si="2"/>
        <v>99.203143149978217</v>
      </c>
    </row>
    <row r="15" spans="1:14" x14ac:dyDescent="0.25">
      <c r="A15" s="3">
        <v>13</v>
      </c>
      <c r="B15" s="4">
        <v>42947</v>
      </c>
      <c r="C15" s="31">
        <v>130.449997</v>
      </c>
      <c r="D15" s="33">
        <f t="shared" si="3"/>
        <v>1.3203860194174633E-2</v>
      </c>
      <c r="E15" s="31">
        <v>167.429993</v>
      </c>
      <c r="F15" s="33">
        <f t="shared" si="3"/>
        <v>5.4345024162247624E-2</v>
      </c>
      <c r="G15" s="31">
        <v>225.38999899999999</v>
      </c>
      <c r="H15" s="33">
        <f t="shared" si="4"/>
        <v>0.1175625090387622</v>
      </c>
      <c r="I15" s="16"/>
      <c r="J15" s="32">
        <f t="shared" si="0"/>
        <v>43.03434000207271</v>
      </c>
      <c r="K15" s="32">
        <f t="shared" si="1"/>
        <v>122.30094984518406</v>
      </c>
      <c r="L15" s="32">
        <f t="shared" si="2"/>
        <v>110.86571356322115</v>
      </c>
    </row>
    <row r="16" spans="1:14" x14ac:dyDescent="0.25">
      <c r="A16" s="3">
        <v>14</v>
      </c>
      <c r="B16" s="4">
        <v>42978</v>
      </c>
      <c r="C16" s="31">
        <v>125.5</v>
      </c>
      <c r="D16" s="33">
        <f t="shared" si="3"/>
        <v>-3.7945550891810287E-2</v>
      </c>
      <c r="E16" s="31">
        <v>157.25</v>
      </c>
      <c r="F16" s="33">
        <f t="shared" si="3"/>
        <v>-6.080148973069599E-2</v>
      </c>
      <c r="G16" s="31">
        <v>206.88999899999999</v>
      </c>
      <c r="H16" s="33">
        <f t="shared" si="4"/>
        <v>-8.2079950672522939E-2</v>
      </c>
      <c r="I16" s="16"/>
      <c r="J16" s="32">
        <f t="shared" si="0"/>
        <v>41.401378263428597</v>
      </c>
      <c r="K16" s="32">
        <f t="shared" si="1"/>
        <v>114.86486989911775</v>
      </c>
      <c r="L16" s="32">
        <f t="shared" si="2"/>
        <v>101.76586126267789</v>
      </c>
    </row>
    <row r="17" spans="1:12" x14ac:dyDescent="0.25">
      <c r="A17" s="3">
        <v>15</v>
      </c>
      <c r="B17" s="4">
        <v>43008</v>
      </c>
      <c r="C17" s="31">
        <v>130.33000200000001</v>
      </c>
      <c r="D17" s="33">
        <f t="shared" si="3"/>
        <v>3.8486071713147441E-2</v>
      </c>
      <c r="E17" s="31">
        <v>164</v>
      </c>
      <c r="F17" s="33">
        <f t="shared" si="3"/>
        <v>4.2925278219395846E-2</v>
      </c>
      <c r="G17" s="31">
        <v>202.36000100000001</v>
      </c>
      <c r="H17" s="33">
        <f t="shared" si="4"/>
        <v>-2.1895683802482746E-2</v>
      </c>
      <c r="I17" s="16"/>
      <c r="J17" s="32">
        <f t="shared" si="0"/>
        <v>42.994754676298051</v>
      </c>
      <c r="K17" s="32">
        <f t="shared" si="1"/>
        <v>119.7954763971721</v>
      </c>
      <c r="L17" s="32">
        <f t="shared" si="2"/>
        <v>99.537628142582975</v>
      </c>
    </row>
    <row r="18" spans="1:12" x14ac:dyDescent="0.25">
      <c r="A18" s="3">
        <v>16</v>
      </c>
      <c r="B18" s="4">
        <v>43039</v>
      </c>
      <c r="C18" s="31">
        <v>142.800003</v>
      </c>
      <c r="D18" s="33">
        <f t="shared" si="3"/>
        <v>9.5680202629015554E-2</v>
      </c>
      <c r="E18" s="31">
        <v>173</v>
      </c>
      <c r="F18" s="33">
        <f t="shared" si="3"/>
        <v>5.4878048780487854E-2</v>
      </c>
      <c r="G18" s="31">
        <v>227.85000600000001</v>
      </c>
      <c r="H18" s="33">
        <f t="shared" si="4"/>
        <v>0.12596365326169368</v>
      </c>
      <c r="I18" s="16"/>
      <c r="J18" s="32">
        <f t="shared" si="0"/>
        <v>47.108501515711062</v>
      </c>
      <c r="K18" s="32">
        <f t="shared" si="1"/>
        <v>126.36961839457787</v>
      </c>
      <c r="L18" s="32">
        <f t="shared" si="2"/>
        <v>112.0757514204267</v>
      </c>
    </row>
    <row r="19" spans="1:12" x14ac:dyDescent="0.25">
      <c r="A19" s="3">
        <v>17</v>
      </c>
      <c r="B19" s="4">
        <v>43069</v>
      </c>
      <c r="C19" s="31">
        <v>128.179993</v>
      </c>
      <c r="D19" s="33">
        <f t="shared" si="3"/>
        <v>-0.10238102025810192</v>
      </c>
      <c r="E19" s="31">
        <v>195.66000399999999</v>
      </c>
      <c r="F19" s="33">
        <f t="shared" si="3"/>
        <v>0.13098268208092478</v>
      </c>
      <c r="G19" s="31">
        <v>221.75</v>
      </c>
      <c r="H19" s="33">
        <f t="shared" si="4"/>
        <v>-2.6772024750352674E-2</v>
      </c>
      <c r="I19" s="16"/>
      <c r="J19" s="32">
        <f t="shared" si="0"/>
        <v>42.285485067702226</v>
      </c>
      <c r="K19" s="32">
        <f t="shared" si="1"/>
        <v>142.92184994544266</v>
      </c>
      <c r="L19" s="32">
        <f t="shared" si="2"/>
        <v>109.07525662948466</v>
      </c>
    </row>
    <row r="20" spans="1:12" x14ac:dyDescent="0.25">
      <c r="A20" s="3">
        <v>18</v>
      </c>
      <c r="B20" s="4">
        <v>43100</v>
      </c>
      <c r="C20" s="31">
        <v>131.699997</v>
      </c>
      <c r="D20" s="33">
        <f t="shared" si="3"/>
        <v>2.7461415136760037E-2</v>
      </c>
      <c r="E20" s="31">
        <v>200.66000399999999</v>
      </c>
      <c r="F20" s="33">
        <f t="shared" si="3"/>
        <v>2.555453285179321E-2</v>
      </c>
      <c r="G20" s="31">
        <v>246.75</v>
      </c>
      <c r="H20" s="33">
        <f t="shared" si="4"/>
        <v>0.112739571589628</v>
      </c>
      <c r="I20" s="16"/>
      <c r="J20" s="32">
        <f t="shared" si="0"/>
        <v>43.446704327405662</v>
      </c>
      <c r="K20" s="32">
        <f t="shared" si="1"/>
        <v>146.57415105511254</v>
      </c>
      <c r="L20" s="32">
        <f t="shared" si="2"/>
        <v>121.37235433292149</v>
      </c>
    </row>
    <row r="21" spans="1:12" x14ac:dyDescent="0.25">
      <c r="A21" s="3">
        <v>19</v>
      </c>
      <c r="B21" s="4">
        <v>43131</v>
      </c>
      <c r="C21" s="31">
        <v>108.18</v>
      </c>
      <c r="D21" s="33">
        <f t="shared" si="3"/>
        <v>-0.1785876806056419</v>
      </c>
      <c r="E21" s="31">
        <v>217.80999800000001</v>
      </c>
      <c r="F21" s="33">
        <f t="shared" si="3"/>
        <v>8.546792414097637E-2</v>
      </c>
      <c r="G21" s="31">
        <v>259.959991</v>
      </c>
      <c r="H21" s="33">
        <f t="shared" si="4"/>
        <v>5.3535931104356616E-2</v>
      </c>
      <c r="I21" s="16"/>
      <c r="J21" s="32">
        <f t="shared" si="0"/>
        <v>35.687658171615183</v>
      </c>
      <c r="K21" s="32">
        <f t="shared" si="1"/>
        <v>159.1015394785189</v>
      </c>
      <c r="L21" s="32">
        <f t="shared" si="2"/>
        <v>127.87013633246234</v>
      </c>
    </row>
    <row r="22" spans="1:12" x14ac:dyDescent="0.25">
      <c r="A22" s="3">
        <v>20</v>
      </c>
      <c r="B22" s="4">
        <v>43159</v>
      </c>
      <c r="C22" s="31">
        <v>112.519997</v>
      </c>
      <c r="D22" s="33">
        <f t="shared" si="3"/>
        <v>4.0118293584766151E-2</v>
      </c>
      <c r="E22" s="31">
        <v>218.679993</v>
      </c>
      <c r="F22" s="33">
        <f t="shared" si="3"/>
        <v>3.994284045675478E-3</v>
      </c>
      <c r="G22" s="31">
        <v>252.58000200000001</v>
      </c>
      <c r="H22" s="33">
        <f t="shared" si="4"/>
        <v>-2.8388941589092442E-2</v>
      </c>
      <c r="I22" s="16"/>
      <c r="J22" s="32">
        <f t="shared" si="0"/>
        <v>37.119386119496816</v>
      </c>
      <c r="K22" s="32">
        <f t="shared" si="1"/>
        <v>159.73703621930036</v>
      </c>
      <c r="L22" s="32">
        <f t="shared" si="2"/>
        <v>124.24003850113077</v>
      </c>
    </row>
    <row r="23" spans="1:12" x14ac:dyDescent="0.25">
      <c r="A23" s="3">
        <v>21</v>
      </c>
      <c r="B23" s="4">
        <v>43190</v>
      </c>
      <c r="C23" s="31">
        <v>112.349998</v>
      </c>
      <c r="D23" s="33">
        <f t="shared" si="3"/>
        <v>-1.5108336698587133E-3</v>
      </c>
      <c r="E23" s="31">
        <v>214.320007</v>
      </c>
      <c r="F23" s="33">
        <f t="shared" si="3"/>
        <v>-1.9937745287928577E-2</v>
      </c>
      <c r="G23" s="31">
        <v>249</v>
      </c>
      <c r="H23" s="33">
        <f t="shared" si="4"/>
        <v>-1.4173734942008576E-2</v>
      </c>
      <c r="I23" s="16"/>
      <c r="J23" s="32">
        <f t="shared" si="0"/>
        <v>37.063304901142999</v>
      </c>
      <c r="K23" s="32">
        <f t="shared" si="1"/>
        <v>156.55223987811132</v>
      </c>
      <c r="L23" s="32">
        <f t="shared" si="2"/>
        <v>122.47909312623079</v>
      </c>
    </row>
    <row r="24" spans="1:12" x14ac:dyDescent="0.25">
      <c r="A24" s="3">
        <v>22</v>
      </c>
      <c r="B24" s="4">
        <v>43220</v>
      </c>
      <c r="C24" s="31">
        <v>105.970001</v>
      </c>
      <c r="D24" s="33">
        <f t="shared" si="3"/>
        <v>-5.6786801188906111E-2</v>
      </c>
      <c r="E24" s="31">
        <v>202.509995</v>
      </c>
      <c r="F24" s="33">
        <f t="shared" si="3"/>
        <v>-5.5104570801922326E-2</v>
      </c>
      <c r="G24" s="31">
        <v>232.259995</v>
      </c>
      <c r="H24" s="33">
        <f t="shared" si="4"/>
        <v>-6.722893574297184E-2</v>
      </c>
      <c r="I24" s="16"/>
      <c r="J24" s="32">
        <f t="shared" si="0"/>
        <v>34.95859837431798</v>
      </c>
      <c r="K24" s="32">
        <f t="shared" si="1"/>
        <v>147.92549589154839</v>
      </c>
      <c r="L24" s="32">
        <f t="shared" si="2"/>
        <v>114.24495404458996</v>
      </c>
    </row>
    <row r="25" spans="1:12" x14ac:dyDescent="0.25">
      <c r="A25" s="3">
        <v>23</v>
      </c>
      <c r="B25" s="4">
        <v>43251</v>
      </c>
      <c r="C25" s="31">
        <v>112.120003</v>
      </c>
      <c r="D25" s="33">
        <f t="shared" si="3"/>
        <v>5.8035311333062944E-2</v>
      </c>
      <c r="E25" s="31">
        <v>191.86999499999999</v>
      </c>
      <c r="F25" s="33">
        <f t="shared" si="3"/>
        <v>-5.2540616575493027E-2</v>
      </c>
      <c r="G25" s="31">
        <v>220.61000100000001</v>
      </c>
      <c r="H25" s="33">
        <f t="shared" si="4"/>
        <v>-5.0159279474711105E-2</v>
      </c>
      <c r="I25" s="16"/>
      <c r="J25" s="32">
        <f t="shared" si="0"/>
        <v>36.987431514739036</v>
      </c>
      <c r="K25" s="32">
        <f t="shared" si="1"/>
        <v>140.1533991301709</v>
      </c>
      <c r="L25" s="32">
        <f t="shared" si="2"/>
        <v>108.51450946609185</v>
      </c>
    </row>
    <row r="26" spans="1:12" x14ac:dyDescent="0.25">
      <c r="A26" s="3">
        <v>24</v>
      </c>
      <c r="B26" s="4">
        <v>43281</v>
      </c>
      <c r="C26" s="31">
        <v>114.959999</v>
      </c>
      <c r="D26" s="33">
        <f t="shared" si="3"/>
        <v>2.5329967213789661E-2</v>
      </c>
      <c r="E26" s="31">
        <v>203.85000600000001</v>
      </c>
      <c r="F26" s="33">
        <f t="shared" si="3"/>
        <v>6.2438168093974289E-2</v>
      </c>
      <c r="G26" s="31">
        <v>217.679993</v>
      </c>
      <c r="H26" s="33">
        <f t="shared" si="4"/>
        <v>-1.328139244240345E-2</v>
      </c>
      <c r="I26" s="16"/>
      <c r="J26" s="32">
        <f t="shared" si="0"/>
        <v>37.924321942329662</v>
      </c>
      <c r="K26" s="32">
        <f t="shared" si="1"/>
        <v>148.90432062400239</v>
      </c>
      <c r="L26" s="32">
        <f t="shared" si="2"/>
        <v>107.07328568017778</v>
      </c>
    </row>
    <row r="27" spans="1:12" x14ac:dyDescent="0.25">
      <c r="A27" s="3">
        <v>25</v>
      </c>
      <c r="B27" s="4">
        <v>43312</v>
      </c>
      <c r="C27" s="31">
        <v>117.900002</v>
      </c>
      <c r="D27" s="33">
        <f t="shared" si="3"/>
        <v>2.5574139053359035E-2</v>
      </c>
      <c r="E27" s="31">
        <v>186.33999600000001</v>
      </c>
      <c r="F27" s="33">
        <f t="shared" si="3"/>
        <v>-8.5896539046459441E-2</v>
      </c>
      <c r="G27" s="31">
        <v>223.58999600000001</v>
      </c>
      <c r="H27" s="33">
        <f t="shared" si="4"/>
        <v>2.7149959527975609E-2</v>
      </c>
      <c r="I27" s="16"/>
      <c r="J27" s="32">
        <f t="shared" si="0"/>
        <v>38.894203825187148</v>
      </c>
      <c r="K27" s="32">
        <f t="shared" si="1"/>
        <v>136.11395483333624</v>
      </c>
      <c r="L27" s="32">
        <f t="shared" si="2"/>
        <v>109.98032105292197</v>
      </c>
    </row>
    <row r="28" spans="1:12" x14ac:dyDescent="0.25">
      <c r="A28" s="3">
        <v>26</v>
      </c>
      <c r="B28" s="4">
        <v>43343</v>
      </c>
      <c r="C28" s="31">
        <v>122.4</v>
      </c>
      <c r="D28" s="33">
        <f t="shared" si="3"/>
        <v>3.8167921320306775E-2</v>
      </c>
      <c r="E28" s="31">
        <v>175</v>
      </c>
      <c r="F28" s="33">
        <f t="shared" si="3"/>
        <v>-6.0856478713244178E-2</v>
      </c>
      <c r="G28" s="31">
        <v>191.65</v>
      </c>
      <c r="H28" s="33">
        <f t="shared" si="4"/>
        <v>-0.14285073827721706</v>
      </c>
      <c r="I28" s="16"/>
      <c r="J28" s="32">
        <f t="shared" si="0"/>
        <v>40.378714736602866</v>
      </c>
      <c r="K28" s="32">
        <f t="shared" si="1"/>
        <v>127.83053883844585</v>
      </c>
      <c r="L28" s="32">
        <f t="shared" si="2"/>
        <v>94.269550994546719</v>
      </c>
    </row>
    <row r="29" spans="1:12" x14ac:dyDescent="0.25">
      <c r="A29" s="3">
        <v>27</v>
      </c>
      <c r="B29" s="4">
        <v>43373</v>
      </c>
      <c r="C29" s="31">
        <v>142.81</v>
      </c>
      <c r="D29" s="33">
        <f t="shared" si="3"/>
        <v>0.16674836601307197</v>
      </c>
      <c r="E29" s="31">
        <v>163.33000000000001</v>
      </c>
      <c r="F29" s="33">
        <f t="shared" si="3"/>
        <v>-6.6685714285714237E-2</v>
      </c>
      <c r="G29" s="31">
        <v>180.3</v>
      </c>
      <c r="H29" s="33">
        <f t="shared" si="4"/>
        <v>-5.9222541090529601E-2</v>
      </c>
      <c r="I29" s="16"/>
      <c r="J29" s="32">
        <f t="shared" si="0"/>
        <v>47.111799440639338</v>
      </c>
      <c r="K29" s="32">
        <f t="shared" si="1"/>
        <v>119.30606804847635</v>
      </c>
      <c r="L29" s="32">
        <f t="shared" si="2"/>
        <v>88.686668637186401</v>
      </c>
    </row>
    <row r="30" spans="1:12" x14ac:dyDescent="0.25">
      <c r="A30" s="3">
        <v>28</v>
      </c>
      <c r="B30" s="4">
        <v>43404</v>
      </c>
      <c r="C30" s="31">
        <v>139.13</v>
      </c>
      <c r="D30" s="33">
        <f t="shared" si="3"/>
        <v>-2.5768503606190096E-2</v>
      </c>
      <c r="E30" s="31">
        <v>175.19</v>
      </c>
      <c r="F30" s="33">
        <f t="shared" si="3"/>
        <v>7.2613726810751178E-2</v>
      </c>
      <c r="G30" s="31">
        <v>197.16</v>
      </c>
      <c r="H30" s="33">
        <f t="shared" si="4"/>
        <v>9.3510815307820128E-2</v>
      </c>
      <c r="I30" s="16"/>
      <c r="J30" s="32">
        <f t="shared" si="0"/>
        <v>45.897798866859127</v>
      </c>
      <c r="K30" s="32">
        <f t="shared" si="1"/>
        <v>127.96932628061329</v>
      </c>
      <c r="L30" s="32">
        <f t="shared" si="2"/>
        <v>96.979831328384194</v>
      </c>
    </row>
    <row r="31" spans="1:12" x14ac:dyDescent="0.25">
      <c r="A31" s="3">
        <v>29</v>
      </c>
      <c r="B31" s="4">
        <v>43434</v>
      </c>
      <c r="C31" s="31">
        <v>181.75</v>
      </c>
      <c r="D31" s="33">
        <f t="shared" si="3"/>
        <v>0.30633220728814781</v>
      </c>
      <c r="E31" s="31">
        <v>178.81</v>
      </c>
      <c r="F31" s="33">
        <f t="shared" si="3"/>
        <v>2.0663279867572326E-2</v>
      </c>
      <c r="G31" s="31">
        <v>190.15</v>
      </c>
      <c r="H31" s="33">
        <f t="shared" si="4"/>
        <v>-3.5554879285859209E-2</v>
      </c>
      <c r="I31" s="16"/>
      <c r="J31" s="32">
        <f t="shared" si="0"/>
        <v>59.957772903411531</v>
      </c>
      <c r="K31" s="32">
        <f t="shared" si="1"/>
        <v>130.61359228401429</v>
      </c>
      <c r="L31" s="32">
        <f t="shared" si="2"/>
        <v>93.531725132340497</v>
      </c>
    </row>
    <row r="32" spans="1:12" x14ac:dyDescent="0.25">
      <c r="A32" s="3">
        <v>30</v>
      </c>
      <c r="B32" s="4">
        <v>43465</v>
      </c>
      <c r="C32" s="31">
        <v>180.99</v>
      </c>
      <c r="D32" s="33">
        <f t="shared" si="3"/>
        <v>-4.1815680880329387E-3</v>
      </c>
      <c r="E32" s="31">
        <v>179.01</v>
      </c>
      <c r="F32" s="33">
        <f t="shared" si="3"/>
        <v>1.1185056764162482E-3</v>
      </c>
      <c r="G32" s="31">
        <v>188.55</v>
      </c>
      <c r="H32" s="33">
        <f t="shared" si="4"/>
        <v>-8.414409676571144E-3</v>
      </c>
      <c r="I32" s="16"/>
      <c r="J32" s="32">
        <f t="shared" si="0"/>
        <v>59.707055393609096</v>
      </c>
      <c r="K32" s="32">
        <f t="shared" si="1"/>
        <v>130.75968432840105</v>
      </c>
      <c r="L32" s="32">
        <f t="shared" si="2"/>
        <v>92.74471087932055</v>
      </c>
    </row>
    <row r="33" spans="1:12" x14ac:dyDescent="0.25">
      <c r="A33" s="16"/>
      <c r="B33" s="16"/>
      <c r="C33" s="16" t="s">
        <v>176</v>
      </c>
      <c r="D33" s="34">
        <f>AVERAGE(D3:D32)</f>
        <v>-1.0243521795771848E-2</v>
      </c>
      <c r="E33" s="16"/>
      <c r="F33" s="34">
        <f>AVERAGE(F3:F32)</f>
        <v>1.0477815158311081E-2</v>
      </c>
      <c r="G33" s="16"/>
      <c r="H33" s="34">
        <f>AVERAGE(H3:H32)</f>
        <v>-3.6936928997404194E-4</v>
      </c>
      <c r="I33" s="16"/>
      <c r="J33" s="16"/>
      <c r="K33" s="16"/>
    </row>
    <row r="34" spans="1:12" x14ac:dyDescent="0.25">
      <c r="A34" s="16"/>
      <c r="B34" s="16"/>
      <c r="C34" s="16" t="s">
        <v>47</v>
      </c>
      <c r="D34" s="35">
        <f>_xlfn.STDEV.S(D3:D32)</f>
        <v>0.11829207838224093</v>
      </c>
      <c r="E34" s="35"/>
      <c r="F34" s="35">
        <f>_xlfn.STDEV.S(F3:F32)</f>
        <v>5.606979752832647E-2</v>
      </c>
      <c r="G34" s="35"/>
      <c r="H34" s="35">
        <f>_xlfn.STDEV.S(H3:H32)</f>
        <v>6.6642905316876042E-2</v>
      </c>
      <c r="I34" s="16"/>
      <c r="J34" s="32">
        <f>_xlfn.STDEV.S(J2:J32)</f>
        <v>14.26061352569233</v>
      </c>
      <c r="K34" s="32">
        <f>_xlfn.STDEV.S(K2:K32)</f>
        <v>18.970718497474312</v>
      </c>
      <c r="L34" s="32">
        <f>_xlfn.STDEV.S(L2:L32)</f>
        <v>11.27960363510843</v>
      </c>
    </row>
    <row r="35" spans="1:12" x14ac:dyDescent="0.25">
      <c r="A35" s="16"/>
      <c r="B35" s="16"/>
      <c r="C35" s="16" t="s">
        <v>48</v>
      </c>
      <c r="D35" s="35">
        <f>SQRT(12)*D34</f>
        <v>0.40977577978192264</v>
      </c>
      <c r="E35" s="35"/>
      <c r="F35" s="35">
        <f>SQRT(12)*F34</f>
        <v>0.19423147617832259</v>
      </c>
      <c r="G35" s="35"/>
      <c r="H35" s="35">
        <f>SQRT(12)*H34</f>
        <v>0.23085779594566275</v>
      </c>
      <c r="I35" s="16"/>
      <c r="J35" s="16"/>
      <c r="K35" s="16"/>
    </row>
    <row r="36" spans="1:12" x14ac:dyDescent="0.25">
      <c r="A36" s="16"/>
      <c r="B36" s="16"/>
      <c r="C36" s="16" t="s">
        <v>49</v>
      </c>
      <c r="D36" s="36">
        <f>_xlfn.COVARIANCE.S(D3:D32,F3:F32)</f>
        <v>-1.0204034568882373E-3</v>
      </c>
      <c r="E36" s="36"/>
      <c r="F36" s="36">
        <f>_xlfn.COVARIANCE.S(F3:F32,H3:H32)</f>
        <v>1.5324417181973773E-3</v>
      </c>
      <c r="G36" s="36"/>
      <c r="H36" s="36">
        <f>_xlfn.COVARIANCE.S(H3:H32,D3:D32)</f>
        <v>8.5468404073892447E-4</v>
      </c>
      <c r="I36" s="16"/>
      <c r="J36" s="16"/>
      <c r="K36" s="16"/>
    </row>
    <row r="37" spans="1:12" ht="30" x14ac:dyDescent="0.25">
      <c r="A37" s="16"/>
      <c r="B37" s="16"/>
      <c r="C37" s="16" t="s">
        <v>50</v>
      </c>
      <c r="D37" s="36">
        <f>12*D36</f>
        <v>-1.2244841482658848E-2</v>
      </c>
      <c r="E37" s="36"/>
      <c r="F37" s="36">
        <f>12*F36</f>
        <v>1.8389300618368527E-2</v>
      </c>
      <c r="G37" s="36"/>
      <c r="H37" s="36">
        <f>12*H36</f>
        <v>1.0256208488867094E-2</v>
      </c>
      <c r="I37" s="16"/>
      <c r="J37" s="16"/>
      <c r="K37" s="16"/>
    </row>
    <row r="38" spans="1:12" x14ac:dyDescent="0.25">
      <c r="A38" s="16"/>
      <c r="B38" s="16"/>
      <c r="C38" s="16" t="s">
        <v>51</v>
      </c>
      <c r="D38" s="37">
        <f>D36/(D34*F34)</f>
        <v>-0.15384637618981647</v>
      </c>
      <c r="E38" s="37"/>
      <c r="F38" s="37">
        <f>F36/(F34*H34)</f>
        <v>0.41011065861852486</v>
      </c>
      <c r="G38" s="37"/>
      <c r="H38" s="37">
        <f>H36/(H34*D34)</f>
        <v>0.10841665660232892</v>
      </c>
      <c r="I38" s="16"/>
      <c r="J38" s="16"/>
      <c r="K38" s="16"/>
    </row>
    <row r="39" spans="1:12" ht="30" x14ac:dyDescent="0.25">
      <c r="A39" s="16"/>
      <c r="B39" s="16"/>
      <c r="C39" s="16" t="s">
        <v>52</v>
      </c>
      <c r="D39" s="37">
        <f>D37/(D35*F35)</f>
        <v>-0.1538463761898165</v>
      </c>
      <c r="E39" s="37"/>
      <c r="F39" s="37">
        <f>F37/(F35*H35)</f>
        <v>0.41011065861852491</v>
      </c>
      <c r="G39" s="37"/>
      <c r="H39" s="37">
        <f>H37/(H35*D35)</f>
        <v>0.10841665660232892</v>
      </c>
      <c r="I39" s="16"/>
      <c r="J39" s="16"/>
      <c r="K39" s="16"/>
    </row>
    <row r="40" spans="1:12" x14ac:dyDescent="0.25">
      <c r="A40" s="16"/>
      <c r="B40" s="16"/>
      <c r="C40" s="16" t="s">
        <v>53</v>
      </c>
      <c r="D40" s="37">
        <f>CORREL(D3:D32,F3:F32)</f>
        <v>-0.15384637618981642</v>
      </c>
      <c r="E40" s="37"/>
      <c r="F40" s="37">
        <f>CORREL(F3:F32,H3:H32)</f>
        <v>0.41011065861852491</v>
      </c>
      <c r="G40" s="37"/>
      <c r="H40" s="37">
        <f>CORREL(H3:H32,D3:D32)</f>
        <v>0.10841665660232892</v>
      </c>
      <c r="I40" s="16"/>
      <c r="J40" s="16"/>
      <c r="K40" s="16"/>
    </row>
    <row r="41" spans="1:12" x14ac:dyDescent="0.25">
      <c r="D41" s="37"/>
      <c r="E41" s="37"/>
      <c r="F41" s="37"/>
      <c r="G41" s="37"/>
      <c r="H41" s="37"/>
    </row>
    <row r="42" spans="1:12" x14ac:dyDescent="0.25">
      <c r="C42" s="16" t="s">
        <v>54</v>
      </c>
      <c r="D42" s="37">
        <f t="array" ref="D42" xml:space="preserve"> PRODUCT(1+D2:D32)-1</f>
        <v>-0.4029294460639089</v>
      </c>
      <c r="E42" s="37"/>
      <c r="F42" s="37">
        <f t="array" ref="F42" xml:space="preserve"> PRODUCT(1+F2:F32)-1</f>
        <v>0.30759684328401105</v>
      </c>
      <c r="G42" s="37"/>
      <c r="H42" s="37">
        <f t="array" ref="H42" xml:space="preserve"> PRODUCT(1+H2:H32)-1</f>
        <v>-7.2552891206794978E-2</v>
      </c>
    </row>
    <row r="43" spans="1:12" x14ac:dyDescent="0.25">
      <c r="C43" s="16" t="s">
        <v>55</v>
      </c>
      <c r="D43" s="37">
        <f t="array" ref="D43">PRODUCT(1+D2:D32)^(12/30) -1</f>
        <v>-0.18640127121821881</v>
      </c>
      <c r="E43" s="37"/>
      <c r="F43" s="37">
        <f t="array" ref="F43">PRODUCT(1+F2:F32)^(12/30) -1</f>
        <v>0.11324190389037025</v>
      </c>
      <c r="G43" s="37"/>
      <c r="H43" s="37">
        <f t="array" ref="H43">PRODUCT(1+H2:H32)^(12/30) -1</f>
        <v>-2.9678486001797677E-2</v>
      </c>
      <c r="K43" s="39"/>
    </row>
    <row r="44" spans="1:12" ht="30" x14ac:dyDescent="0.25">
      <c r="C44" s="16" t="s">
        <v>56</v>
      </c>
      <c r="D44" s="37">
        <f>D35/D43</f>
        <v>-2.1983529248692766</v>
      </c>
      <c r="E44" s="37"/>
      <c r="F44" s="37">
        <f>F35/F43</f>
        <v>1.7151908393059032</v>
      </c>
      <c r="G44" s="37"/>
      <c r="H44" s="37">
        <f>H35/H43</f>
        <v>-7.7786244194423961</v>
      </c>
    </row>
    <row r="45" spans="1:12" x14ac:dyDescent="0.25">
      <c r="D45" s="40">
        <f>ABS(D44)</f>
        <v>2.1983529248692766</v>
      </c>
      <c r="E45" s="40"/>
      <c r="F45" s="40">
        <f>ABS(F44)</f>
        <v>1.7151908393059032</v>
      </c>
      <c r="G45" s="40"/>
      <c r="H45" s="40">
        <f>ABS(H44)</f>
        <v>7.7786244194423961</v>
      </c>
    </row>
    <row r="50" spans="1:1" x14ac:dyDescent="0.25">
      <c r="A50" s="41"/>
    </row>
    <row r="51" spans="1:1" x14ac:dyDescent="0.25">
      <c r="A51" s="41"/>
    </row>
    <row r="52" spans="1:1" x14ac:dyDescent="0.25">
      <c r="A52" s="41"/>
    </row>
    <row r="53" spans="1:1" x14ac:dyDescent="0.25">
      <c r="A53" s="41"/>
    </row>
    <row r="54" spans="1:1" x14ac:dyDescent="0.25">
      <c r="A54" s="41"/>
    </row>
    <row r="55" spans="1:1" x14ac:dyDescent="0.25">
      <c r="A55" s="41"/>
    </row>
    <row r="56" spans="1:1" x14ac:dyDescent="0.25">
      <c r="A56" s="41"/>
    </row>
    <row r="57" spans="1:1" x14ac:dyDescent="0.25">
      <c r="A57" s="41"/>
    </row>
    <row r="58" spans="1:1" x14ac:dyDescent="0.25">
      <c r="A58" s="41"/>
    </row>
    <row r="59" spans="1:1" x14ac:dyDescent="0.25">
      <c r="A59" s="41"/>
    </row>
    <row r="60" spans="1:1" x14ac:dyDescent="0.25">
      <c r="A60" s="41"/>
    </row>
    <row r="61" spans="1:1" x14ac:dyDescent="0.25">
      <c r="A61" s="41"/>
    </row>
    <row r="62" spans="1:1" x14ac:dyDescent="0.25">
      <c r="A62" s="41"/>
    </row>
    <row r="63" spans="1:1" x14ac:dyDescent="0.25">
      <c r="A63" s="41"/>
    </row>
    <row r="64" spans="1:1" x14ac:dyDescent="0.25">
      <c r="A64" s="41"/>
    </row>
    <row r="65" spans="1:1" x14ac:dyDescent="0.25">
      <c r="A65" s="41"/>
    </row>
    <row r="66" spans="1:1" x14ac:dyDescent="0.25">
      <c r="A66" s="41"/>
    </row>
    <row r="67" spans="1:1" x14ac:dyDescent="0.25">
      <c r="A67" s="41"/>
    </row>
    <row r="68" spans="1:1" x14ac:dyDescent="0.25">
      <c r="A68" s="41"/>
    </row>
    <row r="69" spans="1:1" x14ac:dyDescent="0.25">
      <c r="A69" s="41"/>
    </row>
    <row r="70" spans="1:1" x14ac:dyDescent="0.25">
      <c r="A70" s="41"/>
    </row>
    <row r="71" spans="1:1" x14ac:dyDescent="0.25">
      <c r="A71" s="41"/>
    </row>
    <row r="72" spans="1:1" x14ac:dyDescent="0.25">
      <c r="A72" s="41"/>
    </row>
    <row r="73" spans="1:1" x14ac:dyDescent="0.25">
      <c r="A73" s="41"/>
    </row>
    <row r="74" spans="1:1" x14ac:dyDescent="0.25">
      <c r="A74" s="41"/>
    </row>
    <row r="75" spans="1:1" x14ac:dyDescent="0.25">
      <c r="A75" s="41"/>
    </row>
    <row r="76" spans="1:1" x14ac:dyDescent="0.25">
      <c r="A76" s="41"/>
    </row>
    <row r="77" spans="1:1" x14ac:dyDescent="0.25">
      <c r="A77" s="41"/>
    </row>
    <row r="78" spans="1:1" x14ac:dyDescent="0.25">
      <c r="A78" s="41"/>
    </row>
    <row r="79" spans="1:1" x14ac:dyDescent="0.25">
      <c r="A79" s="41"/>
    </row>
    <row r="80" spans="1:1" x14ac:dyDescent="0.25">
      <c r="A80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501C-1E22-42AE-9307-0B87CE0F6D3A}">
  <dimension ref="A1:S66"/>
  <sheetViews>
    <sheetView topLeftCell="A17" workbookViewId="0">
      <selection sqref="A1:XFD1"/>
    </sheetView>
  </sheetViews>
  <sheetFormatPr defaultColWidth="0" defaultRowHeight="15" x14ac:dyDescent="0.25"/>
  <cols>
    <col min="1" max="1" width="15.42578125" customWidth="1"/>
    <col min="2" max="2" width="11.42578125" customWidth="1"/>
    <col min="3" max="3" width="17.85546875" customWidth="1"/>
    <col min="4" max="5" width="14.42578125" customWidth="1"/>
    <col min="6" max="6" width="11.140625" customWidth="1"/>
    <col min="7" max="7" width="9.5703125" customWidth="1"/>
    <col min="8" max="9" width="8.85546875" customWidth="1"/>
    <col min="10" max="10" width="9" customWidth="1"/>
    <col min="11" max="13" width="8.85546875" customWidth="1"/>
    <col min="14" max="14" width="11.85546875" bestFit="1" customWidth="1"/>
    <col min="15" max="19" width="8.85546875" customWidth="1"/>
    <col min="20" max="16384" width="8.85546875" hidden="1"/>
  </cols>
  <sheetData>
    <row r="1" spans="1:9" s="46" customFormat="1" ht="43.5" customHeight="1" x14ac:dyDescent="0.25">
      <c r="A1" s="42" t="s">
        <v>57</v>
      </c>
      <c r="B1" s="43" t="s">
        <v>58</v>
      </c>
      <c r="C1" s="43" t="s">
        <v>59</v>
      </c>
      <c r="D1" s="44" t="s">
        <v>60</v>
      </c>
      <c r="E1" s="44" t="s">
        <v>61</v>
      </c>
      <c r="F1" s="45"/>
      <c r="H1"/>
      <c r="I1" s="1" t="s">
        <v>166</v>
      </c>
    </row>
    <row r="2" spans="1:9" x14ac:dyDescent="0.25">
      <c r="A2" s="47">
        <v>42853</v>
      </c>
      <c r="B2" s="48">
        <v>3439</v>
      </c>
      <c r="C2" s="49"/>
      <c r="D2" s="50">
        <v>1098.1300000000001</v>
      </c>
      <c r="E2" s="49"/>
      <c r="F2" s="45"/>
      <c r="G2" s="45"/>
      <c r="H2" t="s">
        <v>172</v>
      </c>
    </row>
    <row r="3" spans="1:9" x14ac:dyDescent="0.25">
      <c r="A3" s="51">
        <v>42886</v>
      </c>
      <c r="B3" s="52">
        <v>3447</v>
      </c>
      <c r="C3" s="53">
        <f t="shared" ref="C3:C22" si="0">(B3-B2)/B2</f>
        <v>2.3262576330328583E-3</v>
      </c>
      <c r="D3" s="54">
        <v>1109.3399999999999</v>
      </c>
      <c r="E3" s="53">
        <f>(D3-D2)/D2</f>
        <v>1.0208263138243931E-2</v>
      </c>
      <c r="F3" s="45"/>
      <c r="G3" s="45"/>
      <c r="H3" t="s">
        <v>174</v>
      </c>
    </row>
    <row r="4" spans="1:9" x14ac:dyDescent="0.25">
      <c r="A4" s="51">
        <v>42916</v>
      </c>
      <c r="B4" s="52">
        <v>3436</v>
      </c>
      <c r="C4" s="53">
        <f t="shared" si="0"/>
        <v>-3.1911807368726428E-3</v>
      </c>
      <c r="D4" s="54">
        <v>1104.04</v>
      </c>
      <c r="E4" s="53">
        <v>-4.7776155191374646E-3</v>
      </c>
      <c r="F4" s="45"/>
      <c r="G4" s="45"/>
      <c r="H4" s="45"/>
      <c r="I4" s="45"/>
    </row>
    <row r="5" spans="1:9" x14ac:dyDescent="0.25">
      <c r="A5" s="51">
        <v>42947</v>
      </c>
      <c r="B5" s="52">
        <v>3496</v>
      </c>
      <c r="C5" s="53">
        <f t="shared" si="0"/>
        <v>1.7462165308498253E-2</v>
      </c>
      <c r="D5" s="54">
        <v>1093.21</v>
      </c>
      <c r="E5" s="53">
        <v>-9.8094271946667939E-3</v>
      </c>
      <c r="F5" s="45"/>
      <c r="G5" s="45"/>
      <c r="H5" s="45"/>
      <c r="I5" s="45"/>
    </row>
    <row r="6" spans="1:9" x14ac:dyDescent="0.25">
      <c r="A6" s="51">
        <v>42978</v>
      </c>
      <c r="B6" s="52">
        <v>3507</v>
      </c>
      <c r="C6" s="53">
        <f t="shared" si="0"/>
        <v>3.1464530892448511E-3</v>
      </c>
      <c r="D6" s="54">
        <v>1103.5</v>
      </c>
      <c r="E6" s="53">
        <v>9.4126471583684413E-3</v>
      </c>
      <c r="F6" s="45"/>
      <c r="G6" s="45"/>
      <c r="H6" s="45"/>
      <c r="I6" s="45"/>
    </row>
    <row r="7" spans="1:9" x14ac:dyDescent="0.25">
      <c r="A7" s="51">
        <v>43007</v>
      </c>
      <c r="B7" s="52">
        <v>3553</v>
      </c>
      <c r="C7" s="53">
        <f t="shared" si="0"/>
        <v>1.3116623895067009E-2</v>
      </c>
      <c r="D7" s="54">
        <v>1114.4000000000001</v>
      </c>
      <c r="E7" s="53">
        <v>9.8776619845945546E-3</v>
      </c>
      <c r="F7" s="45"/>
      <c r="G7" s="45"/>
      <c r="H7" s="45"/>
      <c r="I7" s="45"/>
    </row>
    <row r="8" spans="1:9" x14ac:dyDescent="0.25">
      <c r="A8" s="51">
        <v>43039</v>
      </c>
      <c r="B8" s="52">
        <v>3625</v>
      </c>
      <c r="C8" s="53">
        <f t="shared" si="0"/>
        <v>2.0264565156206022E-2</v>
      </c>
      <c r="D8" s="54">
        <v>1082.43</v>
      </c>
      <c r="E8" s="53">
        <v>-2.8688083273510433E-2</v>
      </c>
      <c r="F8" s="45"/>
      <c r="G8" s="45"/>
      <c r="H8" s="45"/>
      <c r="I8" s="45"/>
    </row>
    <row r="9" spans="1:9" x14ac:dyDescent="0.25">
      <c r="A9" s="51">
        <v>43069</v>
      </c>
      <c r="B9" s="52">
        <v>3627</v>
      </c>
      <c r="C9" s="53">
        <f t="shared" si="0"/>
        <v>5.5172413793103451E-4</v>
      </c>
      <c r="D9" s="54">
        <v>1077.8900000000001</v>
      </c>
      <c r="E9" s="53">
        <v>-4.1942666038450186E-3</v>
      </c>
      <c r="F9" s="45"/>
      <c r="G9" s="45"/>
      <c r="H9" s="45"/>
      <c r="I9" s="45"/>
    </row>
    <row r="10" spans="1:9" x14ac:dyDescent="0.25">
      <c r="A10" s="51">
        <v>43098</v>
      </c>
      <c r="B10" s="52">
        <v>3590</v>
      </c>
      <c r="C10" s="53">
        <f t="shared" si="0"/>
        <v>-1.0201268265784396E-2</v>
      </c>
      <c r="D10" s="54">
        <v>1124.5899999999999</v>
      </c>
      <c r="E10" s="53">
        <v>4.3325385707261237E-2</v>
      </c>
      <c r="F10" s="45"/>
      <c r="G10" s="45"/>
      <c r="H10" s="45"/>
      <c r="I10" s="45"/>
    </row>
    <row r="11" spans="1:9" x14ac:dyDescent="0.25">
      <c r="A11" s="51">
        <v>43131</v>
      </c>
      <c r="B11" s="52">
        <v>3596</v>
      </c>
      <c r="C11" s="53">
        <f t="shared" si="0"/>
        <v>1.6713091922005571E-3</v>
      </c>
      <c r="D11" s="54">
        <v>1119.8599999999999</v>
      </c>
      <c r="E11" s="53">
        <v>-4.205977289501079E-3</v>
      </c>
      <c r="F11" s="45"/>
      <c r="G11" s="45"/>
      <c r="H11" s="45"/>
      <c r="I11" s="45"/>
    </row>
    <row r="12" spans="1:9" x14ac:dyDescent="0.25">
      <c r="A12" s="51">
        <v>43159</v>
      </c>
      <c r="B12" s="52">
        <v>3579</v>
      </c>
      <c r="C12" s="53">
        <f t="shared" si="0"/>
        <v>-4.7274749721913237E-3</v>
      </c>
      <c r="D12" s="54">
        <v>1154.8699999999999</v>
      </c>
      <c r="E12" s="53">
        <v>3.1262836425981815E-2</v>
      </c>
      <c r="F12" s="45"/>
      <c r="G12" s="45"/>
      <c r="H12" s="45"/>
      <c r="I12" s="45"/>
    </row>
    <row r="13" spans="1:9" x14ac:dyDescent="0.25">
      <c r="A13" s="51">
        <v>43189</v>
      </c>
      <c r="B13" s="52">
        <v>3552</v>
      </c>
      <c r="C13" s="53">
        <f t="shared" si="0"/>
        <v>-7.5440067057837385E-3</v>
      </c>
      <c r="D13" s="54">
        <v>1173.0999999999999</v>
      </c>
      <c r="E13" s="53">
        <v>1.5785326486963919E-2</v>
      </c>
      <c r="F13" s="45"/>
      <c r="G13" s="45"/>
      <c r="H13" s="45"/>
      <c r="I13" s="45"/>
    </row>
    <row r="14" spans="1:9" x14ac:dyDescent="0.25">
      <c r="A14" s="51">
        <v>43220</v>
      </c>
      <c r="B14" s="52">
        <v>3626</v>
      </c>
      <c r="C14" s="53">
        <f t="shared" si="0"/>
        <v>2.0833333333333332E-2</v>
      </c>
      <c r="D14" s="54">
        <v>1151.31</v>
      </c>
      <c r="E14" s="53">
        <v>-1.8574716562952832E-2</v>
      </c>
      <c r="F14" s="45"/>
      <c r="G14" s="45"/>
      <c r="H14" s="45"/>
      <c r="I14" s="45"/>
    </row>
    <row r="15" spans="1:9" x14ac:dyDescent="0.25">
      <c r="A15" s="51">
        <v>43251</v>
      </c>
      <c r="B15" s="52">
        <v>3582</v>
      </c>
      <c r="C15" s="53">
        <f t="shared" si="0"/>
        <v>-1.2134583563154992E-2</v>
      </c>
      <c r="D15" s="54">
        <v>1145.71</v>
      </c>
      <c r="E15" s="53">
        <v>-4.8640244590943439E-3</v>
      </c>
      <c r="F15" s="45"/>
      <c r="G15" s="45"/>
      <c r="H15" s="45"/>
      <c r="I15" s="45"/>
    </row>
    <row r="16" spans="1:9" x14ac:dyDescent="0.25">
      <c r="A16" s="51">
        <v>43280</v>
      </c>
      <c r="B16" s="52">
        <v>3700</v>
      </c>
      <c r="C16" s="53">
        <f t="shared" si="0"/>
        <v>3.2942490228922393E-2</v>
      </c>
      <c r="D16" s="54">
        <v>1137.72</v>
      </c>
      <c r="E16" s="53">
        <v>-6.9738415480357233E-3</v>
      </c>
      <c r="F16" s="45"/>
      <c r="G16" s="45"/>
      <c r="H16" s="45"/>
      <c r="I16" s="45"/>
    </row>
    <row r="17" spans="1:9" x14ac:dyDescent="0.25">
      <c r="A17" s="51">
        <v>43312</v>
      </c>
      <c r="B17" s="52">
        <v>3627</v>
      </c>
      <c r="C17" s="53">
        <f t="shared" si="0"/>
        <v>-1.9729729729729729E-2</v>
      </c>
      <c r="D17" s="54">
        <v>1138.2</v>
      </c>
      <c r="E17" s="53">
        <v>4.2189642442781895E-4</v>
      </c>
      <c r="F17" s="45"/>
      <c r="G17" s="45"/>
      <c r="H17" s="45"/>
      <c r="I17" s="45"/>
    </row>
    <row r="18" spans="1:9" x14ac:dyDescent="0.25">
      <c r="A18" s="51">
        <v>43343</v>
      </c>
      <c r="B18" s="52">
        <v>3763</v>
      </c>
      <c r="C18" s="53">
        <f t="shared" si="0"/>
        <v>3.7496553625585884E-2</v>
      </c>
      <c r="D18" s="54">
        <v>1120.1600000000001</v>
      </c>
      <c r="E18" s="53">
        <v>-1.5849587067299213E-2</v>
      </c>
      <c r="F18" s="45"/>
      <c r="G18" s="45"/>
      <c r="H18" s="45"/>
      <c r="I18" s="45"/>
    </row>
    <row r="19" spans="1:9" x14ac:dyDescent="0.25">
      <c r="A19" s="51">
        <v>43371</v>
      </c>
      <c r="B19" s="52">
        <v>3712</v>
      </c>
      <c r="C19" s="53">
        <f t="shared" si="0"/>
        <v>-1.355301621047037E-2</v>
      </c>
      <c r="D19" s="54">
        <v>1127.05</v>
      </c>
      <c r="E19" s="53">
        <v>6.1509070132837029E-3</v>
      </c>
      <c r="F19" s="45"/>
      <c r="G19" s="45"/>
      <c r="H19" s="45"/>
      <c r="I19" s="45"/>
    </row>
    <row r="20" spans="1:9" x14ac:dyDescent="0.25">
      <c r="A20" s="51">
        <v>43404</v>
      </c>
      <c r="B20" s="52">
        <v>3631</v>
      </c>
      <c r="C20" s="53">
        <f t="shared" si="0"/>
        <v>-2.1821120689655173E-2</v>
      </c>
      <c r="D20" s="54">
        <v>1090.8499999999999</v>
      </c>
      <c r="E20" s="53">
        <v>-3.2119249367818681E-2</v>
      </c>
      <c r="F20" s="45"/>
      <c r="G20" s="45"/>
      <c r="H20" s="45"/>
      <c r="I20" s="45"/>
    </row>
    <row r="21" spans="1:9" x14ac:dyDescent="0.25">
      <c r="A21" s="51">
        <v>43434</v>
      </c>
      <c r="B21" s="52">
        <v>3514</v>
      </c>
      <c r="C21" s="53">
        <f t="shared" si="0"/>
        <v>-3.222252822913798E-2</v>
      </c>
      <c r="D21" s="54">
        <v>1126.75</v>
      </c>
      <c r="E21" s="53">
        <v>3.2910115964614836E-2</v>
      </c>
      <c r="F21" s="45"/>
      <c r="G21" s="45"/>
      <c r="H21" s="45"/>
      <c r="I21" s="45"/>
    </row>
    <row r="22" spans="1:9" x14ac:dyDescent="0.25">
      <c r="A22" s="55">
        <v>43465</v>
      </c>
      <c r="B22" s="56">
        <v>3569</v>
      </c>
      <c r="C22" s="57">
        <f t="shared" si="0"/>
        <v>1.5651678998292545E-2</v>
      </c>
      <c r="D22" s="58">
        <v>1133.8499999999999</v>
      </c>
      <c r="E22" s="57">
        <v>6.3013090747724952E-3</v>
      </c>
      <c r="F22" s="45"/>
      <c r="G22" s="45"/>
      <c r="H22" s="45"/>
      <c r="I22" s="45"/>
    </row>
    <row r="23" spans="1:9" x14ac:dyDescent="0.25">
      <c r="A23" s="59"/>
      <c r="B23" s="60" t="s">
        <v>62</v>
      </c>
      <c r="C23" s="61">
        <f>(B22-B2)/B2</f>
        <v>3.7801686536783952E-2</v>
      </c>
      <c r="D23" s="62" t="s">
        <v>62</v>
      </c>
      <c r="E23" s="61">
        <f>(D22-D2)/D2</f>
        <v>3.2528024915082727E-2</v>
      </c>
      <c r="F23" s="45"/>
      <c r="G23" s="63"/>
      <c r="H23" s="45"/>
      <c r="I23" s="45"/>
    </row>
    <row r="24" spans="1:9" ht="39" customHeight="1" x14ac:dyDescent="0.25">
      <c r="A24" s="59"/>
      <c r="B24" s="64" t="s">
        <v>63</v>
      </c>
      <c r="C24" s="65">
        <f t="array" ref="C24">PRODUCT(1+C3:C22)^(12/20) -1</f>
        <v>2.2512493901495567E-2</v>
      </c>
      <c r="D24" s="64" t="s">
        <v>63</v>
      </c>
      <c r="E24" s="65">
        <f t="array" ref="E24">PRODUCT(1+E3:E22)^(12/20) -1</f>
        <v>1.9391736809660332E-2</v>
      </c>
      <c r="F24" s="45"/>
      <c r="G24" s="63"/>
      <c r="H24" s="45"/>
      <c r="I24" s="45"/>
    </row>
    <row r="25" spans="1:9" x14ac:dyDescent="0.25">
      <c r="A25" s="59"/>
      <c r="B25" s="60" t="s">
        <v>64</v>
      </c>
      <c r="C25" s="66">
        <f>_xlfn.VAR.S(C3:C22)</f>
        <v>3.3805453074948615E-4</v>
      </c>
      <c r="D25" s="62" t="s">
        <v>64</v>
      </c>
      <c r="E25" s="66">
        <f>_xlfn.VAR.S(E3:E22)</f>
        <v>3.7731264911787841E-4</v>
      </c>
      <c r="F25" s="45"/>
      <c r="G25" s="63"/>
      <c r="H25" s="45"/>
      <c r="I25" s="45"/>
    </row>
    <row r="26" spans="1:9" ht="39" customHeight="1" x14ac:dyDescent="0.25">
      <c r="A26" s="59"/>
      <c r="B26" s="64" t="s">
        <v>65</v>
      </c>
      <c r="C26" s="67">
        <f>12*C25</f>
        <v>4.0566543689938336E-3</v>
      </c>
      <c r="D26" s="64" t="s">
        <v>65</v>
      </c>
      <c r="E26" s="67">
        <f>12*E25</f>
        <v>4.5277517894145407E-3</v>
      </c>
      <c r="F26" s="45"/>
      <c r="G26" s="45"/>
      <c r="H26" s="45"/>
      <c r="I26" s="45"/>
    </row>
    <row r="27" spans="1:9" x14ac:dyDescent="0.25">
      <c r="A27" s="59"/>
      <c r="B27" s="60" t="s">
        <v>66</v>
      </c>
      <c r="C27" s="61">
        <f>_xlfn.STDEV.S(C3:C22)</f>
        <v>1.838625929191379E-2</v>
      </c>
      <c r="D27" s="62" t="s">
        <v>66</v>
      </c>
      <c r="E27" s="61">
        <f>_xlfn.STDEV.S(E3:E22)</f>
        <v>1.9424537294820653E-2</v>
      </c>
      <c r="F27" s="45"/>
      <c r="G27" s="45"/>
      <c r="H27" s="45"/>
      <c r="I27" s="45"/>
    </row>
    <row r="28" spans="1:9" ht="37.5" customHeight="1" x14ac:dyDescent="0.25">
      <c r="A28" s="59"/>
      <c r="B28" s="64" t="s">
        <v>67</v>
      </c>
      <c r="C28" s="65">
        <f>SQRT(12)*C27</f>
        <v>6.3691870509460111E-2</v>
      </c>
      <c r="D28" s="64" t="s">
        <v>67</v>
      </c>
      <c r="E28" s="65">
        <f>SQRT(12)*E27</f>
        <v>6.7288571016291765E-2</v>
      </c>
      <c r="F28" s="45"/>
      <c r="G28" s="63"/>
      <c r="H28" s="45"/>
      <c r="I28" s="45"/>
    </row>
    <row r="29" spans="1:9" x14ac:dyDescent="0.25">
      <c r="A29" s="59"/>
      <c r="B29" s="60"/>
      <c r="C29" s="68"/>
      <c r="D29" s="62" t="s">
        <v>68</v>
      </c>
      <c r="E29" s="66">
        <f>_xlfn.COVARIANCE.S(C3:C22,E3:E22)</f>
        <v>-1.4995225437767167E-4</v>
      </c>
      <c r="F29" s="45"/>
      <c r="G29" s="45"/>
      <c r="H29" s="45"/>
      <c r="I29" s="45"/>
    </row>
    <row r="30" spans="1:9" ht="27.6" customHeight="1" x14ac:dyDescent="0.25">
      <c r="A30" s="59"/>
      <c r="B30" s="69"/>
      <c r="C30" s="68"/>
      <c r="D30" s="69" t="s">
        <v>69</v>
      </c>
      <c r="E30" s="70">
        <f>E29*12</f>
        <v>-1.79942705253206E-3</v>
      </c>
      <c r="F30" s="45"/>
      <c r="G30" s="45"/>
      <c r="H30" s="45"/>
      <c r="I30" s="45"/>
    </row>
    <row r="31" spans="1:9" x14ac:dyDescent="0.25">
      <c r="A31" s="59"/>
      <c r="B31" s="71"/>
      <c r="C31" s="72"/>
      <c r="D31" s="62" t="s">
        <v>70</v>
      </c>
      <c r="E31" s="61">
        <f>CORREL(C3:C22,E3:E22)</f>
        <v>-0.41986428762214772</v>
      </c>
      <c r="F31" s="45"/>
      <c r="G31" s="45"/>
      <c r="H31" s="45"/>
      <c r="I31" s="45"/>
    </row>
    <row r="32" spans="1:9" ht="33.950000000000003" customHeight="1" x14ac:dyDescent="0.25">
      <c r="A32" s="59"/>
      <c r="B32" s="71"/>
      <c r="C32" s="72"/>
      <c r="D32" s="69" t="s">
        <v>71</v>
      </c>
      <c r="E32" s="65">
        <f>E30/(C28*E28)</f>
        <v>-0.41986428762214772</v>
      </c>
      <c r="F32" s="45"/>
      <c r="G32" s="45"/>
      <c r="H32" s="45"/>
      <c r="I32" s="45"/>
    </row>
    <row r="33" spans="1:11" ht="27.6" customHeight="1" x14ac:dyDescent="0.25">
      <c r="A33" s="73"/>
      <c r="B33" s="74"/>
      <c r="C33" s="74"/>
      <c r="D33" s="64" t="s">
        <v>72</v>
      </c>
      <c r="E33" s="291">
        <f>C24*0.5+E24*0.5</f>
        <v>2.0952115355577949E-2</v>
      </c>
      <c r="F33" s="283"/>
      <c r="G33" s="283"/>
      <c r="H33" s="283"/>
      <c r="I33" s="45"/>
    </row>
    <row r="34" spans="1:11" ht="15.75" thickBot="1" x14ac:dyDescent="0.3">
      <c r="A34" s="45"/>
      <c r="B34" s="74"/>
      <c r="C34" s="74"/>
      <c r="D34" s="64" t="s">
        <v>73</v>
      </c>
      <c r="E34" s="291"/>
      <c r="F34" s="283"/>
      <c r="G34" s="283"/>
      <c r="H34" s="283"/>
      <c r="I34" s="45"/>
    </row>
    <row r="35" spans="1:11" ht="15.75" thickBot="1" x14ac:dyDescent="0.3">
      <c r="A35" s="45"/>
      <c r="B35" s="284" t="s">
        <v>74</v>
      </c>
      <c r="C35" s="76" t="str">
        <f>B1</f>
        <v>AGSF Price</v>
      </c>
      <c r="D35" s="77">
        <v>0.5</v>
      </c>
      <c r="E35" s="78">
        <f>($D$35^2)*($C$26)+($D$36^2)*($E$26)+2*$D$35*$D$36*$C$28*$E$28*$E$32</f>
        <v>1.2463880133360636E-3</v>
      </c>
      <c r="F35" s="79" t="s">
        <v>75</v>
      </c>
      <c r="G35" s="45"/>
      <c r="H35" s="45"/>
      <c r="I35" s="45"/>
    </row>
    <row r="36" spans="1:11" ht="19.5" thickBot="1" x14ac:dyDescent="0.35">
      <c r="A36" s="45"/>
      <c r="B36" s="285"/>
      <c r="C36" s="80" t="str">
        <f>D1</f>
        <v>AGBD Price</v>
      </c>
      <c r="D36" s="81">
        <f>1-D35</f>
        <v>0.5</v>
      </c>
      <c r="E36" s="82">
        <f>SQRT(E35)</f>
        <v>3.5304220899717693E-2</v>
      </c>
      <c r="F36" s="83" t="s">
        <v>76</v>
      </c>
      <c r="G36" s="45"/>
      <c r="H36" s="45"/>
      <c r="I36" s="45"/>
    </row>
    <row r="37" spans="1:11" ht="19.5" thickBot="1" x14ac:dyDescent="0.35">
      <c r="A37" s="45"/>
      <c r="B37" s="84"/>
      <c r="C37" s="85" t="s">
        <v>77</v>
      </c>
      <c r="D37" s="86">
        <f>D35+D36</f>
        <v>1</v>
      </c>
      <c r="E37" s="87"/>
      <c r="F37" s="88"/>
      <c r="G37" s="45"/>
      <c r="H37" s="45"/>
      <c r="I37" s="45"/>
    </row>
    <row r="38" spans="1:11" ht="24.75" thickTop="1" thickBot="1" x14ac:dyDescent="0.4">
      <c r="A38" s="45"/>
      <c r="B38" s="89"/>
      <c r="C38" s="45"/>
      <c r="D38" s="45"/>
      <c r="E38" s="45"/>
      <c r="F38" s="45"/>
      <c r="G38" s="90" t="s">
        <v>78</v>
      </c>
      <c r="H38" s="45"/>
      <c r="I38" s="45"/>
    </row>
    <row r="39" spans="1:11" x14ac:dyDescent="0.25">
      <c r="A39" s="45"/>
      <c r="B39" s="286" t="s">
        <v>79</v>
      </c>
      <c r="C39" s="91" t="s">
        <v>80</v>
      </c>
      <c r="D39" s="92">
        <f>D35</f>
        <v>0.5</v>
      </c>
      <c r="E39" s="287">
        <f>$D$39*$C$24+$D$40*$E$24</f>
        <v>2.0952115355577949E-2</v>
      </c>
      <c r="F39" s="45"/>
      <c r="G39" s="289">
        <f>(E39)/E36</f>
        <v>0.5934733814150106</v>
      </c>
      <c r="H39" s="45"/>
      <c r="I39" s="45"/>
    </row>
    <row r="40" spans="1:11" ht="15.75" thickBot="1" x14ac:dyDescent="0.3">
      <c r="A40" s="45"/>
      <c r="B40" s="285"/>
      <c r="C40" s="93" t="s">
        <v>81</v>
      </c>
      <c r="D40" s="94">
        <f>D36</f>
        <v>0.5</v>
      </c>
      <c r="E40" s="288"/>
      <c r="F40" s="45"/>
      <c r="G40" s="290"/>
      <c r="H40" s="95"/>
      <c r="I40" s="45"/>
    </row>
    <row r="41" spans="1:11" ht="15.75" thickBot="1" x14ac:dyDescent="0.3">
      <c r="A41" s="45"/>
      <c r="B41" s="45"/>
      <c r="C41" s="85" t="s">
        <v>77</v>
      </c>
      <c r="D41" s="86">
        <f>D39+D40</f>
        <v>1</v>
      </c>
      <c r="E41" s="45"/>
      <c r="F41" s="45"/>
      <c r="G41" s="45"/>
      <c r="H41" s="45"/>
      <c r="I41" s="45"/>
    </row>
    <row r="42" spans="1:11" ht="16.5" thickTop="1" thickBot="1" x14ac:dyDescent="0.3">
      <c r="A42" s="45"/>
      <c r="B42" s="45"/>
      <c r="C42" s="96"/>
      <c r="D42" s="97"/>
      <c r="E42" s="45"/>
      <c r="F42" s="45"/>
      <c r="G42" s="45"/>
      <c r="H42" s="45"/>
      <c r="I42" s="45"/>
      <c r="J42" s="38"/>
    </row>
    <row r="43" spans="1:11" ht="33" customHeight="1" thickBot="1" x14ac:dyDescent="0.3">
      <c r="B43" s="98" t="s">
        <v>82</v>
      </c>
      <c r="C43" s="99" t="s">
        <v>83</v>
      </c>
      <c r="D43" s="100" t="s">
        <v>84</v>
      </c>
      <c r="E43" s="101" t="s">
        <v>85</v>
      </c>
      <c r="F43" s="100" t="s">
        <v>86</v>
      </c>
      <c r="G43" s="101" t="s">
        <v>78</v>
      </c>
    </row>
    <row r="44" spans="1:11" ht="15" customHeight="1" thickBot="1" x14ac:dyDescent="0.3">
      <c r="A44" s="39"/>
      <c r="B44" s="102">
        <v>1</v>
      </c>
      <c r="C44" s="103">
        <v>1</v>
      </c>
      <c r="D44" s="104">
        <f>1-C44</f>
        <v>0</v>
      </c>
      <c r="E44" s="105">
        <f>SQRT((C44^2)*($C$26)+(D44^2)*($E$26)+2*C44*D44*$C$28*$E$28*$E$32)</f>
        <v>6.3691870509460097E-2</v>
      </c>
      <c r="F44" s="106">
        <f>C44*$C$24+D44*$E$24</f>
        <v>2.2512493901495567E-2</v>
      </c>
      <c r="G44" s="107">
        <f>(F44)/E44</f>
        <v>0.3534594559937097</v>
      </c>
      <c r="K44" s="40"/>
    </row>
    <row r="45" spans="1:11" ht="15" customHeight="1" thickBot="1" x14ac:dyDescent="0.3">
      <c r="B45" s="102">
        <v>2</v>
      </c>
      <c r="C45" s="108">
        <f>C44-0.05</f>
        <v>0.95</v>
      </c>
      <c r="D45" s="109">
        <f t="shared" ref="D45:D64" si="1">1-C45</f>
        <v>5.0000000000000044E-2</v>
      </c>
      <c r="E45" s="106">
        <f t="shared" ref="E45:E64" si="2">SQRT((C45^2)*($C$26)+(D45^2)*($E$26)+2*C45*D45*$C$28*$E$28*$E$32)</f>
        <v>5.9173510775514457E-2</v>
      </c>
      <c r="F45" s="106">
        <f t="shared" ref="F45:F64" si="3">C45*$C$24+D45*$E$24</f>
        <v>2.2356456046903807E-2</v>
      </c>
      <c r="G45" s="107">
        <f t="shared" ref="G45:G64" si="4">(F45)/E45</f>
        <v>0.37781189173846919</v>
      </c>
    </row>
    <row r="46" spans="1:11" ht="19.5" thickBot="1" x14ac:dyDescent="0.3">
      <c r="B46" s="102">
        <v>3</v>
      </c>
      <c r="C46" s="108">
        <f t="shared" ref="C46:C64" si="5">C45-0.05</f>
        <v>0.89999999999999991</v>
      </c>
      <c r="D46" s="109">
        <f t="shared" si="1"/>
        <v>0.10000000000000009</v>
      </c>
      <c r="E46" s="106">
        <f t="shared" si="2"/>
        <v>5.4838587575933968E-2</v>
      </c>
      <c r="F46" s="106">
        <f t="shared" si="3"/>
        <v>2.2200418192312044E-2</v>
      </c>
      <c r="G46" s="107">
        <f t="shared" si="4"/>
        <v>0.40483205665301902</v>
      </c>
    </row>
    <row r="47" spans="1:11" ht="19.5" thickBot="1" x14ac:dyDescent="0.3">
      <c r="B47" s="102">
        <v>4</v>
      </c>
      <c r="C47" s="108">
        <f t="shared" si="5"/>
        <v>0.84999999999999987</v>
      </c>
      <c r="D47" s="109">
        <f t="shared" si="1"/>
        <v>0.15000000000000013</v>
      </c>
      <c r="E47" s="106">
        <f t="shared" si="2"/>
        <v>5.0734143320491733E-2</v>
      </c>
      <c r="F47" s="106">
        <f t="shared" si="3"/>
        <v>2.2044380337720285E-2</v>
      </c>
      <c r="G47" s="107">
        <f t="shared" si="4"/>
        <v>0.43450778696437486</v>
      </c>
    </row>
    <row r="48" spans="1:11" ht="19.5" thickBot="1" x14ac:dyDescent="0.3">
      <c r="B48" s="102">
        <v>5</v>
      </c>
      <c r="C48" s="108">
        <f t="shared" si="5"/>
        <v>0.79999999999999982</v>
      </c>
      <c r="D48" s="109">
        <f t="shared" si="1"/>
        <v>0.20000000000000018</v>
      </c>
      <c r="E48" s="106">
        <f t="shared" si="2"/>
        <v>4.6920701304673344E-2</v>
      </c>
      <c r="F48" s="106">
        <f t="shared" si="3"/>
        <v>2.1888342483128518E-2</v>
      </c>
      <c r="G48" s="107">
        <f t="shared" si="4"/>
        <v>0.46649649034441049</v>
      </c>
    </row>
    <row r="49" spans="2:7" ht="19.5" thickBot="1" x14ac:dyDescent="0.3">
      <c r="B49" s="102">
        <v>6</v>
      </c>
      <c r="C49" s="108">
        <f t="shared" si="5"/>
        <v>0.74999999999999978</v>
      </c>
      <c r="D49" s="109">
        <f t="shared" si="1"/>
        <v>0.25000000000000022</v>
      </c>
      <c r="E49" s="106">
        <f t="shared" si="2"/>
        <v>4.3474905689350453E-2</v>
      </c>
      <c r="F49" s="106">
        <f t="shared" si="3"/>
        <v>2.1732304628536758E-2</v>
      </c>
      <c r="G49" s="107">
        <f t="shared" si="4"/>
        <v>0.49988158189059101</v>
      </c>
    </row>
    <row r="50" spans="2:7" ht="19.5" thickBot="1" x14ac:dyDescent="0.3">
      <c r="B50" s="102">
        <v>7</v>
      </c>
      <c r="C50" s="108">
        <f t="shared" si="5"/>
        <v>0.69999999999999973</v>
      </c>
      <c r="D50" s="109">
        <f t="shared" si="1"/>
        <v>0.30000000000000027</v>
      </c>
      <c r="E50" s="106">
        <f t="shared" si="2"/>
        <v>4.0490726590057889E-2</v>
      </c>
      <c r="F50" s="106">
        <f t="shared" si="3"/>
        <v>2.1576266773944995E-2</v>
      </c>
      <c r="G50" s="107">
        <f t="shared" si="4"/>
        <v>0.53286934048851675</v>
      </c>
    </row>
    <row r="51" spans="2:7" ht="19.5" thickBot="1" x14ac:dyDescent="0.3">
      <c r="B51" s="102">
        <v>8</v>
      </c>
      <c r="C51" s="108">
        <f t="shared" si="5"/>
        <v>0.64999999999999969</v>
      </c>
      <c r="D51" s="109">
        <f t="shared" si="1"/>
        <v>0.35000000000000031</v>
      </c>
      <c r="E51" s="106">
        <f t="shared" si="2"/>
        <v>3.8076853286492671E-2</v>
      </c>
      <c r="F51" s="106">
        <f t="shared" si="3"/>
        <v>2.1420228919353232E-2</v>
      </c>
      <c r="G51" s="107">
        <f t="shared" si="4"/>
        <v>0.5625524976600893</v>
      </c>
    </row>
    <row r="52" spans="2:7" ht="19.5" thickBot="1" x14ac:dyDescent="0.3">
      <c r="B52" s="102">
        <v>9</v>
      </c>
      <c r="C52" s="108">
        <f t="shared" si="5"/>
        <v>0.59999999999999964</v>
      </c>
      <c r="D52" s="109">
        <f t="shared" si="1"/>
        <v>0.40000000000000036</v>
      </c>
      <c r="E52" s="106">
        <f t="shared" si="2"/>
        <v>3.6347088933348114E-2</v>
      </c>
      <c r="F52" s="106">
        <f t="shared" si="3"/>
        <v>2.1264191064761472E-2</v>
      </c>
      <c r="G52" s="107">
        <f t="shared" si="4"/>
        <v>0.58503147538871469</v>
      </c>
    </row>
    <row r="53" spans="2:7" ht="19.5" thickBot="1" x14ac:dyDescent="0.3">
      <c r="B53" s="102">
        <v>10</v>
      </c>
      <c r="C53" s="108">
        <f t="shared" si="5"/>
        <v>0.5499999999999996</v>
      </c>
      <c r="D53" s="109">
        <f t="shared" si="1"/>
        <v>0.4500000000000004</v>
      </c>
      <c r="E53" s="106">
        <f t="shared" si="2"/>
        <v>3.540185437196347E-2</v>
      </c>
      <c r="F53" s="106">
        <f t="shared" si="3"/>
        <v>2.1108153210169709E-2</v>
      </c>
      <c r="G53" s="107">
        <f t="shared" si="4"/>
        <v>0.59624428111557704</v>
      </c>
    </row>
    <row r="54" spans="2:7" ht="19.5" thickBot="1" x14ac:dyDescent="0.3">
      <c r="B54" s="102">
        <v>11</v>
      </c>
      <c r="C54" s="108">
        <f t="shared" si="5"/>
        <v>0.49999999999999961</v>
      </c>
      <c r="D54" s="109">
        <f t="shared" si="1"/>
        <v>0.50000000000000044</v>
      </c>
      <c r="E54" s="110">
        <f t="shared" si="2"/>
        <v>3.53042208997177E-2</v>
      </c>
      <c r="F54" s="106">
        <f t="shared" si="3"/>
        <v>2.0952115355577949E-2</v>
      </c>
      <c r="G54" s="107">
        <f t="shared" si="4"/>
        <v>0.59347338141501049</v>
      </c>
    </row>
    <row r="55" spans="2:7" ht="19.5" thickBot="1" x14ac:dyDescent="0.3">
      <c r="B55" s="111">
        <v>12</v>
      </c>
      <c r="C55" s="112">
        <f t="shared" si="5"/>
        <v>0.44999999999999962</v>
      </c>
      <c r="D55" s="113">
        <f t="shared" si="1"/>
        <v>0.55000000000000038</v>
      </c>
      <c r="E55" s="114">
        <f t="shared" si="2"/>
        <v>3.6061073680851222E-2</v>
      </c>
      <c r="F55" s="114">
        <f t="shared" si="3"/>
        <v>2.0796077500986186E-2</v>
      </c>
      <c r="G55" s="115">
        <f t="shared" si="4"/>
        <v>0.57669046920333666</v>
      </c>
    </row>
    <row r="56" spans="2:7" ht="19.5" thickBot="1" x14ac:dyDescent="0.3">
      <c r="B56" s="111">
        <v>13</v>
      </c>
      <c r="C56" s="112">
        <f t="shared" si="5"/>
        <v>0.39999999999999963</v>
      </c>
      <c r="D56" s="113">
        <f t="shared" si="1"/>
        <v>0.60000000000000031</v>
      </c>
      <c r="E56" s="114">
        <f t="shared" si="2"/>
        <v>3.762087662472606E-2</v>
      </c>
      <c r="F56" s="114">
        <f t="shared" si="3"/>
        <v>2.0640039646394423E-2</v>
      </c>
      <c r="G56" s="115">
        <f t="shared" si="4"/>
        <v>0.5486326076949759</v>
      </c>
    </row>
    <row r="57" spans="2:7" ht="19.5" thickBot="1" x14ac:dyDescent="0.3">
      <c r="B57" s="111">
        <v>14</v>
      </c>
      <c r="C57" s="112">
        <f t="shared" si="5"/>
        <v>0.34999999999999964</v>
      </c>
      <c r="D57" s="113">
        <f t="shared" si="1"/>
        <v>0.65000000000000036</v>
      </c>
      <c r="E57" s="114">
        <f t="shared" si="2"/>
        <v>3.9889547281553625E-2</v>
      </c>
      <c r="F57" s="114">
        <f t="shared" si="3"/>
        <v>2.0484001791802663E-2</v>
      </c>
      <c r="G57" s="115">
        <f t="shared" si="4"/>
        <v>0.51351803135843588</v>
      </c>
    </row>
    <row r="58" spans="2:7" ht="19.5" thickBot="1" x14ac:dyDescent="0.3">
      <c r="B58" s="111">
        <v>15</v>
      </c>
      <c r="C58" s="112">
        <f t="shared" si="5"/>
        <v>0.29999999999999966</v>
      </c>
      <c r="D58" s="113">
        <f t="shared" si="1"/>
        <v>0.7000000000000004</v>
      </c>
      <c r="E58" s="114">
        <f t="shared" si="2"/>
        <v>4.2754390510906681E-2</v>
      </c>
      <c r="F58" s="114">
        <f t="shared" si="3"/>
        <v>2.0327963937210904E-2</v>
      </c>
      <c r="G58" s="115">
        <f t="shared" si="4"/>
        <v>0.47545909775103035</v>
      </c>
    </row>
    <row r="59" spans="2:7" ht="19.5" thickBot="1" x14ac:dyDescent="0.3">
      <c r="B59" s="111">
        <v>16</v>
      </c>
      <c r="C59" s="112">
        <f t="shared" si="5"/>
        <v>0.24999999999999967</v>
      </c>
      <c r="D59" s="113">
        <f t="shared" si="1"/>
        <v>0.75000000000000033</v>
      </c>
      <c r="E59" s="114">
        <f t="shared" si="2"/>
        <v>4.6104404723499831E-2</v>
      </c>
      <c r="F59" s="114">
        <f t="shared" si="3"/>
        <v>2.017192608261914E-2</v>
      </c>
      <c r="G59" s="115">
        <f t="shared" si="4"/>
        <v>0.43752709103599657</v>
      </c>
    </row>
    <row r="60" spans="2:7" ht="19.5" thickBot="1" x14ac:dyDescent="0.3">
      <c r="B60" s="111">
        <v>17</v>
      </c>
      <c r="C60" s="112">
        <f t="shared" si="5"/>
        <v>0.19999999999999968</v>
      </c>
      <c r="D60" s="113">
        <f t="shared" si="1"/>
        <v>0.80000000000000027</v>
      </c>
      <c r="E60" s="114">
        <f t="shared" si="2"/>
        <v>4.984185653820293E-2</v>
      </c>
      <c r="F60" s="114">
        <f t="shared" si="3"/>
        <v>2.0015888228027377E-2</v>
      </c>
      <c r="G60" s="115">
        <f t="shared" si="4"/>
        <v>0.40158793468468701</v>
      </c>
    </row>
    <row r="61" spans="2:7" ht="19.5" thickBot="1" x14ac:dyDescent="0.3">
      <c r="B61" s="111">
        <v>18</v>
      </c>
      <c r="C61" s="112">
        <f t="shared" si="5"/>
        <v>0.14999999999999969</v>
      </c>
      <c r="D61" s="113">
        <f t="shared" si="1"/>
        <v>0.85000000000000031</v>
      </c>
      <c r="E61" s="114">
        <f t="shared" si="2"/>
        <v>5.3886190185971523E-2</v>
      </c>
      <c r="F61" s="114">
        <f t="shared" si="3"/>
        <v>1.9859850373435618E-2</v>
      </c>
      <c r="G61" s="115">
        <f t="shared" si="4"/>
        <v>0.36855176261107875</v>
      </c>
    </row>
    <row r="62" spans="2:7" ht="19.5" thickBot="1" x14ac:dyDescent="0.3">
      <c r="B62" s="111">
        <v>19</v>
      </c>
      <c r="C62" s="112">
        <f t="shared" si="5"/>
        <v>9.9999999999999686E-2</v>
      </c>
      <c r="D62" s="113">
        <f t="shared" si="1"/>
        <v>0.90000000000000036</v>
      </c>
      <c r="E62" s="114">
        <f t="shared" si="2"/>
        <v>5.817343572164145E-2</v>
      </c>
      <c r="F62" s="114">
        <f t="shared" si="3"/>
        <v>1.9703812518843854E-2</v>
      </c>
      <c r="G62" s="115">
        <f t="shared" si="4"/>
        <v>0.33870807653730722</v>
      </c>
    </row>
    <row r="63" spans="2:7" ht="19.5" thickBot="1" x14ac:dyDescent="0.3">
      <c r="B63" s="111">
        <v>20</v>
      </c>
      <c r="C63" s="112">
        <f t="shared" si="5"/>
        <v>4.9999999999999684E-2</v>
      </c>
      <c r="D63" s="113">
        <f t="shared" si="1"/>
        <v>0.95000000000000029</v>
      </c>
      <c r="E63" s="114">
        <f t="shared" si="2"/>
        <v>6.2653747341069432E-2</v>
      </c>
      <c r="F63" s="114">
        <f t="shared" si="3"/>
        <v>1.9547774664252091E-2</v>
      </c>
      <c r="G63" s="115">
        <f t="shared" si="4"/>
        <v>0.31199689553825866</v>
      </c>
    </row>
    <row r="64" spans="2:7" ht="19.5" thickBot="1" x14ac:dyDescent="0.3">
      <c r="B64" s="111">
        <v>21</v>
      </c>
      <c r="C64" s="112">
        <f t="shared" si="5"/>
        <v>-3.1918911957973251E-16</v>
      </c>
      <c r="D64" s="113">
        <f t="shared" si="1"/>
        <v>1.0000000000000002</v>
      </c>
      <c r="E64" s="116">
        <f t="shared" si="2"/>
        <v>6.7288571016291793E-2</v>
      </c>
      <c r="F64" s="116">
        <f t="shared" si="3"/>
        <v>1.9391736809660328E-2</v>
      </c>
      <c r="G64" s="115">
        <f t="shared" si="4"/>
        <v>0.28818767461959083</v>
      </c>
    </row>
    <row r="66" spans="5:8" x14ac:dyDescent="0.25">
      <c r="E66" s="39">
        <f>MIN(E44:E64)</f>
        <v>3.53042208997177E-2</v>
      </c>
      <c r="F66" s="39">
        <f t="shared" ref="F66:G66" si="6">MAX(F44:F64)</f>
        <v>2.2512493901495567E-2</v>
      </c>
      <c r="G66" s="117">
        <f t="shared" si="6"/>
        <v>0.59624428111557704</v>
      </c>
      <c r="H66" s="118"/>
    </row>
  </sheetData>
  <mergeCells count="8">
    <mergeCell ref="H33:H34"/>
    <mergeCell ref="B35:B36"/>
    <mergeCell ref="B39:B40"/>
    <mergeCell ref="E39:E40"/>
    <mergeCell ref="G39:G40"/>
    <mergeCell ref="E33:E34"/>
    <mergeCell ref="F33:F34"/>
    <mergeCell ref="G33:G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9549-930F-42BD-842B-3A1305401C8B}">
  <dimension ref="A1:G21"/>
  <sheetViews>
    <sheetView topLeftCell="A5" workbookViewId="0">
      <selection activeCell="D20" sqref="D20"/>
    </sheetView>
  </sheetViews>
  <sheetFormatPr defaultColWidth="9.140625" defaultRowHeight="15" x14ac:dyDescent="0.25"/>
  <cols>
    <col min="1" max="1" width="12.85546875" customWidth="1"/>
    <col min="2" max="2" width="19.85546875" customWidth="1"/>
    <col min="3" max="3" width="18.42578125" customWidth="1"/>
    <col min="6" max="6" width="11" customWidth="1"/>
    <col min="7" max="7" width="16.85546875" customWidth="1"/>
  </cols>
  <sheetData>
    <row r="1" spans="1:7" ht="30" x14ac:dyDescent="0.25">
      <c r="A1" s="157" t="s">
        <v>1</v>
      </c>
      <c r="B1" s="158" t="s">
        <v>22</v>
      </c>
      <c r="C1" s="157" t="s">
        <v>127</v>
      </c>
      <c r="D1" s="157" t="s">
        <v>128</v>
      </c>
      <c r="G1" s="1" t="s">
        <v>166</v>
      </c>
    </row>
    <row r="2" spans="1:7" x14ac:dyDescent="0.25">
      <c r="A2" s="17" t="s">
        <v>87</v>
      </c>
      <c r="B2" s="18">
        <v>3.2000000000000001E-2</v>
      </c>
      <c r="C2" s="119" t="str">
        <f>IF(B2&lt;0.005,"yes","no")</f>
        <v>no</v>
      </c>
      <c r="D2" s="18">
        <f>IF(B2&lt;0.005,(0.005-B2)^2,0)</f>
        <v>0</v>
      </c>
      <c r="F2" t="s">
        <v>172</v>
      </c>
    </row>
    <row r="3" spans="1:7" x14ac:dyDescent="0.25">
      <c r="A3" s="20" t="s">
        <v>88</v>
      </c>
      <c r="B3" s="21">
        <v>0.04</v>
      </c>
      <c r="C3" s="120" t="str">
        <f t="shared" ref="C3:C19" si="0">IF(B3&lt;0.005,"yes","no")</f>
        <v>no</v>
      </c>
      <c r="D3" s="21">
        <f t="shared" ref="D3:D19" si="1">IF(B3&lt;0.005,(0.005-B3)^2,0)</f>
        <v>0</v>
      </c>
      <c r="F3" t="s">
        <v>173</v>
      </c>
    </row>
    <row r="4" spans="1:7" x14ac:dyDescent="0.25">
      <c r="A4" s="20" t="s">
        <v>89</v>
      </c>
      <c r="B4" s="21">
        <v>5.2999999999999999E-2</v>
      </c>
      <c r="C4" s="120" t="str">
        <f t="shared" si="0"/>
        <v>no</v>
      </c>
      <c r="D4" s="21">
        <f t="shared" si="1"/>
        <v>0</v>
      </c>
      <c r="E4" s="260"/>
    </row>
    <row r="5" spans="1:7" x14ac:dyDescent="0.25">
      <c r="A5" s="20" t="s">
        <v>90</v>
      </c>
      <c r="B5" s="21">
        <v>2.1000000000000001E-2</v>
      </c>
      <c r="C5" s="120" t="str">
        <f t="shared" si="0"/>
        <v>no</v>
      </c>
      <c r="D5" s="21">
        <f t="shared" si="1"/>
        <v>0</v>
      </c>
      <c r="E5" s="260"/>
    </row>
    <row r="6" spans="1:7" x14ac:dyDescent="0.25">
      <c r="A6" s="20" t="s">
        <v>91</v>
      </c>
      <c r="B6" s="21">
        <v>1.2999999999999999E-2</v>
      </c>
      <c r="C6" s="120" t="str">
        <f t="shared" si="0"/>
        <v>no</v>
      </c>
      <c r="D6" s="21">
        <f t="shared" si="1"/>
        <v>0</v>
      </c>
      <c r="E6" s="260"/>
    </row>
    <row r="7" spans="1:7" x14ac:dyDescent="0.25">
      <c r="A7" s="20" t="s">
        <v>92</v>
      </c>
      <c r="B7" s="21">
        <v>-2.4E-2</v>
      </c>
      <c r="C7" s="120" t="str">
        <f t="shared" si="0"/>
        <v>yes</v>
      </c>
      <c r="D7" s="21">
        <f t="shared" si="1"/>
        <v>8.4100000000000006E-4</v>
      </c>
      <c r="E7" s="260"/>
    </row>
    <row r="8" spans="1:7" x14ac:dyDescent="0.25">
      <c r="A8" s="20" t="s">
        <v>93</v>
      </c>
      <c r="B8" s="21">
        <v>-1.2999999999999999E-2</v>
      </c>
      <c r="C8" s="120" t="str">
        <f t="shared" si="0"/>
        <v>yes</v>
      </c>
      <c r="D8" s="21">
        <f t="shared" si="1"/>
        <v>3.2399999999999996E-4</v>
      </c>
      <c r="E8" s="260"/>
    </row>
    <row r="9" spans="1:7" x14ac:dyDescent="0.25">
      <c r="A9" s="20" t="s">
        <v>94</v>
      </c>
      <c r="B9" s="21">
        <v>-2.3E-2</v>
      </c>
      <c r="C9" s="120" t="str">
        <f t="shared" si="0"/>
        <v>yes</v>
      </c>
      <c r="D9" s="21">
        <f t="shared" si="1"/>
        <v>7.8400000000000008E-4</v>
      </c>
      <c r="E9" s="260"/>
    </row>
    <row r="10" spans="1:7" x14ac:dyDescent="0.25">
      <c r="A10" s="20" t="s">
        <v>95</v>
      </c>
      <c r="B10" s="21">
        <v>4.2299999999999997E-2</v>
      </c>
      <c r="C10" s="120" t="str">
        <f t="shared" si="0"/>
        <v>no</v>
      </c>
      <c r="D10" s="21">
        <f t="shared" si="1"/>
        <v>0</v>
      </c>
      <c r="E10" s="260"/>
    </row>
    <row r="11" spans="1:7" x14ac:dyDescent="0.25">
      <c r="A11" s="20" t="s">
        <v>96</v>
      </c>
      <c r="B11" s="21">
        <v>2.35E-2</v>
      </c>
      <c r="C11" s="120" t="str">
        <f t="shared" si="0"/>
        <v>no</v>
      </c>
      <c r="D11" s="21">
        <f t="shared" si="1"/>
        <v>0</v>
      </c>
      <c r="E11" s="260"/>
    </row>
    <row r="12" spans="1:7" x14ac:dyDescent="0.25">
      <c r="A12" s="20" t="s">
        <v>97</v>
      </c>
      <c r="B12" s="21">
        <v>5.4100000000000002E-2</v>
      </c>
      <c r="C12" s="120" t="str">
        <f t="shared" si="0"/>
        <v>no</v>
      </c>
      <c r="D12" s="21">
        <f t="shared" si="1"/>
        <v>0</v>
      </c>
      <c r="E12" s="260"/>
    </row>
    <row r="13" spans="1:7" x14ac:dyDescent="0.25">
      <c r="A13" s="20" t="s">
        <v>98</v>
      </c>
      <c r="B13" s="21">
        <v>3.1E-2</v>
      </c>
      <c r="C13" s="120" t="str">
        <f t="shared" si="0"/>
        <v>no</v>
      </c>
      <c r="D13" s="21">
        <f t="shared" si="1"/>
        <v>0</v>
      </c>
      <c r="E13" s="260"/>
    </row>
    <row r="14" spans="1:7" x14ac:dyDescent="0.25">
      <c r="A14" s="20" t="s">
        <v>99</v>
      </c>
      <c r="B14" s="21">
        <v>-1.2E-2</v>
      </c>
      <c r="C14" s="120" t="str">
        <f t="shared" si="0"/>
        <v>yes</v>
      </c>
      <c r="D14" s="21">
        <f t="shared" si="1"/>
        <v>2.8900000000000003E-4</v>
      </c>
      <c r="E14" s="260"/>
    </row>
    <row r="15" spans="1:7" x14ac:dyDescent="0.25">
      <c r="A15" s="20" t="s">
        <v>100</v>
      </c>
      <c r="B15" s="21">
        <v>-2.1299999999999999E-2</v>
      </c>
      <c r="C15" s="120" t="str">
        <f t="shared" si="0"/>
        <v>yes</v>
      </c>
      <c r="D15" s="21">
        <f t="shared" si="1"/>
        <v>6.9169000000000001E-4</v>
      </c>
      <c r="E15" s="260"/>
    </row>
    <row r="16" spans="1:7" x14ac:dyDescent="0.25">
      <c r="A16" s="20" t="s">
        <v>101</v>
      </c>
      <c r="B16" s="21">
        <v>-4.2000000000000003E-2</v>
      </c>
      <c r="C16" s="120" t="str">
        <f t="shared" si="0"/>
        <v>yes</v>
      </c>
      <c r="D16" s="21">
        <f t="shared" si="1"/>
        <v>2.209E-3</v>
      </c>
      <c r="E16" s="260"/>
    </row>
    <row r="17" spans="1:5" x14ac:dyDescent="0.25">
      <c r="A17" s="20" t="s">
        <v>102</v>
      </c>
      <c r="B17" s="21">
        <v>3.8699999999999998E-2</v>
      </c>
      <c r="C17" s="120" t="str">
        <f t="shared" si="0"/>
        <v>no</v>
      </c>
      <c r="D17" s="21">
        <f t="shared" si="1"/>
        <v>0</v>
      </c>
      <c r="E17" s="260"/>
    </row>
    <row r="18" spans="1:5" x14ac:dyDescent="0.25">
      <c r="A18" s="20" t="s">
        <v>103</v>
      </c>
      <c r="B18" s="21">
        <v>-4.2299999999999997E-2</v>
      </c>
      <c r="C18" s="120" t="str">
        <f t="shared" si="0"/>
        <v>yes</v>
      </c>
      <c r="D18" s="21">
        <f t="shared" si="1"/>
        <v>2.2372899999999994E-3</v>
      </c>
      <c r="E18" s="260"/>
    </row>
    <row r="19" spans="1:5" x14ac:dyDescent="0.25">
      <c r="A19" s="20" t="s">
        <v>104</v>
      </c>
      <c r="B19" s="26">
        <v>5.4300000000000001E-2</v>
      </c>
      <c r="C19" s="121" t="str">
        <f t="shared" si="0"/>
        <v>no</v>
      </c>
      <c r="D19" s="26">
        <f t="shared" si="1"/>
        <v>0</v>
      </c>
      <c r="E19" s="260"/>
    </row>
    <row r="20" spans="1:5" x14ac:dyDescent="0.25">
      <c r="A20" s="122"/>
      <c r="B20" s="122"/>
      <c r="C20" s="122" t="s">
        <v>105</v>
      </c>
      <c r="D20" s="18">
        <f>SUM(D2:D19)/18</f>
        <v>4.0977666666666668E-4</v>
      </c>
      <c r="E20" s="260"/>
    </row>
    <row r="21" spans="1:5" x14ac:dyDescent="0.25">
      <c r="A21" s="29"/>
      <c r="B21" s="29"/>
      <c r="C21" s="29" t="s">
        <v>106</v>
      </c>
      <c r="D21" s="26">
        <f>SQRT(D20)</f>
        <v>2.0242941156528284E-2</v>
      </c>
      <c r="E21" s="2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5198-AB44-4B50-BC31-C18977D678A7}">
  <dimension ref="A1:G21"/>
  <sheetViews>
    <sheetView workbookViewId="0">
      <selection sqref="A1:XFD1"/>
    </sheetView>
  </sheetViews>
  <sheetFormatPr defaultColWidth="8.85546875" defaultRowHeight="15" x14ac:dyDescent="0.25"/>
  <cols>
    <col min="2" max="2" width="22.140625" customWidth="1"/>
    <col min="3" max="3" width="27.42578125" customWidth="1"/>
    <col min="4" max="4" width="12" customWidth="1"/>
    <col min="6" max="6" width="53.5703125" customWidth="1"/>
  </cols>
  <sheetData>
    <row r="1" spans="1:7" ht="30" x14ac:dyDescent="0.25">
      <c r="A1" s="157" t="s">
        <v>1</v>
      </c>
      <c r="B1" s="157" t="s">
        <v>22</v>
      </c>
      <c r="C1" s="157" t="s">
        <v>23</v>
      </c>
      <c r="D1" s="157" t="s">
        <v>24</v>
      </c>
      <c r="G1" s="1" t="s">
        <v>166</v>
      </c>
    </row>
    <row r="2" spans="1:7" x14ac:dyDescent="0.25">
      <c r="A2" s="17" t="s">
        <v>25</v>
      </c>
      <c r="B2" s="18">
        <v>3.2000000000000001E-2</v>
      </c>
      <c r="C2" s="18">
        <v>3.56E-2</v>
      </c>
      <c r="D2" s="19">
        <f t="shared" ref="D2:D19" si="0">B2-C2</f>
        <v>-3.599999999999999E-3</v>
      </c>
      <c r="F2" t="s">
        <v>172</v>
      </c>
    </row>
    <row r="3" spans="1:7" x14ac:dyDescent="0.25">
      <c r="A3" s="20" t="s">
        <v>26</v>
      </c>
      <c r="B3" s="21">
        <v>0.04</v>
      </c>
      <c r="C3" s="21">
        <v>4.5400000000000003E-2</v>
      </c>
      <c r="D3" s="22">
        <f t="shared" si="0"/>
        <v>-5.400000000000002E-3</v>
      </c>
      <c r="F3" t="s">
        <v>174</v>
      </c>
    </row>
    <row r="4" spans="1:7" x14ac:dyDescent="0.25">
      <c r="A4" s="20" t="s">
        <v>27</v>
      </c>
      <c r="B4" s="21">
        <v>5.2999999999999999E-2</v>
      </c>
      <c r="C4" s="21">
        <v>5.8200000000000002E-2</v>
      </c>
      <c r="D4" s="22">
        <f t="shared" si="0"/>
        <v>-5.2000000000000032E-3</v>
      </c>
    </row>
    <row r="5" spans="1:7" x14ac:dyDescent="0.25">
      <c r="A5" s="20" t="s">
        <v>28</v>
      </c>
      <c r="B5" s="21">
        <v>2.1000000000000001E-2</v>
      </c>
      <c r="C5" s="21">
        <v>3.0499999999999999E-2</v>
      </c>
      <c r="D5" s="22">
        <f t="shared" si="0"/>
        <v>-9.499999999999998E-3</v>
      </c>
    </row>
    <row r="6" spans="1:7" x14ac:dyDescent="0.25">
      <c r="A6" s="20" t="s">
        <v>29</v>
      </c>
      <c r="B6" s="21">
        <v>1.2999999999999999E-2</v>
      </c>
      <c r="C6" s="21">
        <v>1.8200000000000001E-2</v>
      </c>
      <c r="D6" s="22">
        <f t="shared" si="0"/>
        <v>-5.2000000000000015E-3</v>
      </c>
    </row>
    <row r="7" spans="1:7" x14ac:dyDescent="0.25">
      <c r="A7" s="20" t="s">
        <v>30</v>
      </c>
      <c r="B7" s="21">
        <v>-2.4E-2</v>
      </c>
      <c r="C7" s="21">
        <v>-2.8199999999999999E-2</v>
      </c>
      <c r="D7" s="22">
        <f t="shared" si="0"/>
        <v>4.1999999999999989E-3</v>
      </c>
    </row>
    <row r="8" spans="1:7" x14ac:dyDescent="0.25">
      <c r="A8" s="20" t="s">
        <v>31</v>
      </c>
      <c r="B8" s="21">
        <v>-1.2999999999999999E-2</v>
      </c>
      <c r="C8" s="21">
        <v>-1.11E-2</v>
      </c>
      <c r="D8" s="22">
        <f t="shared" si="0"/>
        <v>-1.8999999999999989E-3</v>
      </c>
    </row>
    <row r="9" spans="1:7" x14ac:dyDescent="0.25">
      <c r="A9" s="20" t="s">
        <v>32</v>
      </c>
      <c r="B9" s="21">
        <v>-2.3E-2</v>
      </c>
      <c r="C9" s="21">
        <v>-1.2E-2</v>
      </c>
      <c r="D9" s="22">
        <f t="shared" si="0"/>
        <v>-1.0999999999999999E-2</v>
      </c>
    </row>
    <row r="10" spans="1:7" x14ac:dyDescent="0.25">
      <c r="A10" s="20" t="s">
        <v>33</v>
      </c>
      <c r="B10" s="21">
        <v>4.2299999999999997E-2</v>
      </c>
      <c r="C10" s="21">
        <v>4.7E-2</v>
      </c>
      <c r="D10" s="22">
        <f t="shared" si="0"/>
        <v>-4.7000000000000028E-3</v>
      </c>
    </row>
    <row r="11" spans="1:7" x14ac:dyDescent="0.25">
      <c r="A11" s="20" t="s">
        <v>34</v>
      </c>
      <c r="B11" s="21">
        <v>2.35E-2</v>
      </c>
      <c r="C11" s="21">
        <v>3.4000000000000002E-2</v>
      </c>
      <c r="D11" s="22">
        <f t="shared" si="0"/>
        <v>-1.0500000000000002E-2</v>
      </c>
    </row>
    <row r="12" spans="1:7" x14ac:dyDescent="0.25">
      <c r="A12" s="20" t="s">
        <v>35</v>
      </c>
      <c r="B12" s="21">
        <v>5.4100000000000002E-2</v>
      </c>
      <c r="C12" s="21">
        <v>6.6699999999999995E-2</v>
      </c>
      <c r="D12" s="22">
        <f t="shared" si="0"/>
        <v>-1.2599999999999993E-2</v>
      </c>
    </row>
    <row r="13" spans="1:7" x14ac:dyDescent="0.25">
      <c r="A13" s="20" t="s">
        <v>36</v>
      </c>
      <c r="B13" s="21">
        <v>3.1E-2</v>
      </c>
      <c r="C13" s="21">
        <v>2.3800000000000002E-2</v>
      </c>
      <c r="D13" s="22">
        <f t="shared" si="0"/>
        <v>7.1999999999999981E-3</v>
      </c>
    </row>
    <row r="14" spans="1:7" x14ac:dyDescent="0.25">
      <c r="A14" s="20" t="s">
        <v>37</v>
      </c>
      <c r="B14" s="21">
        <v>-1.2E-2</v>
      </c>
      <c r="C14" s="21">
        <v>-1.43E-2</v>
      </c>
      <c r="D14" s="22">
        <f t="shared" si="0"/>
        <v>2.3E-3</v>
      </c>
    </row>
    <row r="15" spans="1:7" x14ac:dyDescent="0.25">
      <c r="A15" s="20" t="s">
        <v>38</v>
      </c>
      <c r="B15" s="21">
        <v>-2.1299999999999999E-2</v>
      </c>
      <c r="C15" s="21">
        <v>-2.1000000000000001E-2</v>
      </c>
      <c r="D15" s="22">
        <f t="shared" si="0"/>
        <v>-2.9999999999999818E-4</v>
      </c>
    </row>
    <row r="16" spans="1:7" x14ac:dyDescent="0.25">
      <c r="A16" s="20" t="s">
        <v>39</v>
      </c>
      <c r="B16" s="21">
        <v>-4.2000000000000003E-2</v>
      </c>
      <c r="C16" s="21">
        <v>-4.1300000000000003E-2</v>
      </c>
      <c r="D16" s="22">
        <f t="shared" si="0"/>
        <v>-6.9999999999999923E-4</v>
      </c>
    </row>
    <row r="17" spans="1:4" x14ac:dyDescent="0.25">
      <c r="A17" s="20" t="s">
        <v>40</v>
      </c>
      <c r="B17" s="21">
        <v>3.8699999999999998E-2</v>
      </c>
      <c r="C17" s="21">
        <v>4.3299999999999998E-2</v>
      </c>
      <c r="D17" s="22">
        <f t="shared" si="0"/>
        <v>-4.5999999999999999E-3</v>
      </c>
    </row>
    <row r="18" spans="1:4" x14ac:dyDescent="0.25">
      <c r="A18" s="20" t="s">
        <v>41</v>
      </c>
      <c r="B18" s="21">
        <v>-4.2299999999999997E-2</v>
      </c>
      <c r="C18" s="21">
        <v>-0.04</v>
      </c>
      <c r="D18" s="22">
        <f t="shared" si="0"/>
        <v>-2.2999999999999965E-3</v>
      </c>
    </row>
    <row r="19" spans="1:4" x14ac:dyDescent="0.25">
      <c r="A19" s="25" t="s">
        <v>42</v>
      </c>
      <c r="B19" s="26">
        <v>5.4300000000000001E-2</v>
      </c>
      <c r="C19" s="26">
        <v>5.5300000000000002E-2</v>
      </c>
      <c r="D19" s="27">
        <f t="shared" si="0"/>
        <v>-1.0000000000000009E-3</v>
      </c>
    </row>
    <row r="20" spans="1:4" x14ac:dyDescent="0.25">
      <c r="A20" s="123"/>
      <c r="B20" s="124">
        <f>_xlfn.STDEV.S(B2:B19)</f>
        <v>3.37146372471347E-2</v>
      </c>
      <c r="C20" s="124">
        <f>_xlfn.STDEV.S(C2:C19)</f>
        <v>3.5669021820720834E-2</v>
      </c>
      <c r="D20" s="125">
        <f>_xlfn.STDEV.S(D2:D19)</f>
        <v>5.2674360321641467E-3</v>
      </c>
    </row>
    <row r="21" spans="1:4" x14ac:dyDescent="0.25">
      <c r="A21" s="126"/>
      <c r="B21" s="127">
        <f>B20*SQRT(12)</f>
        <v>0.11679092934158281</v>
      </c>
      <c r="C21" s="127">
        <f>C20*SQRT(12)</f>
        <v>0.12356111609954284</v>
      </c>
      <c r="D21" s="128">
        <f>D20*SQRT(12)</f>
        <v>1.8246933666654624E-2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6807-2D4B-4041-A85C-D9499283D7A0}">
  <dimension ref="A1:I44"/>
  <sheetViews>
    <sheetView workbookViewId="0">
      <pane xSplit="5" ySplit="2" topLeftCell="F40" activePane="bottomRight" state="frozen"/>
      <selection pane="topRight" activeCell="F1" sqref="F1"/>
      <selection pane="bottomLeft" activeCell="A3" sqref="A3"/>
      <selection pane="bottomRight" activeCell="C40" sqref="C40"/>
    </sheetView>
  </sheetViews>
  <sheetFormatPr defaultColWidth="11.5703125" defaultRowHeight="15" x14ac:dyDescent="0.25"/>
  <cols>
    <col min="1" max="1" width="7.42578125" bestFit="1" customWidth="1"/>
    <col min="2" max="2" width="12.7109375" bestFit="1" customWidth="1"/>
    <col min="4" max="5" width="7.85546875" bestFit="1" customWidth="1"/>
    <col min="6" max="6" width="6.85546875" bestFit="1" customWidth="1"/>
  </cols>
  <sheetData>
    <row r="1" spans="1:9" ht="30" x14ac:dyDescent="0.25">
      <c r="A1" s="159"/>
      <c r="B1" s="159" t="s">
        <v>107</v>
      </c>
      <c r="C1" s="159"/>
      <c r="D1" s="159" t="s">
        <v>108</v>
      </c>
      <c r="E1" s="159"/>
      <c r="F1" s="159" t="s">
        <v>109</v>
      </c>
      <c r="I1" s="1" t="s">
        <v>166</v>
      </c>
    </row>
    <row r="2" spans="1:9" x14ac:dyDescent="0.25">
      <c r="A2" s="159" t="s">
        <v>110</v>
      </c>
      <c r="B2" s="159" t="s">
        <v>111</v>
      </c>
      <c r="C2" s="159" t="s">
        <v>86</v>
      </c>
      <c r="D2" s="159" t="s">
        <v>111</v>
      </c>
      <c r="E2" s="159" t="s">
        <v>86</v>
      </c>
      <c r="F2" s="159"/>
      <c r="H2" t="s">
        <v>172</v>
      </c>
    </row>
    <row r="3" spans="1:9" x14ac:dyDescent="0.25">
      <c r="A3" s="202">
        <v>43632</v>
      </c>
      <c r="B3" s="142">
        <v>9.6999999999999993</v>
      </c>
      <c r="C3" s="142"/>
      <c r="D3" s="142">
        <v>2098.86</v>
      </c>
      <c r="E3" s="142"/>
      <c r="F3" s="142"/>
      <c r="H3" t="s">
        <v>174</v>
      </c>
    </row>
    <row r="4" spans="1:9" x14ac:dyDescent="0.25">
      <c r="A4" s="202">
        <v>43662</v>
      </c>
      <c r="B4" s="142">
        <v>10.14</v>
      </c>
      <c r="C4" s="138">
        <v>4.48E-2</v>
      </c>
      <c r="D4" s="142">
        <v>2173.6</v>
      </c>
      <c r="E4" s="138">
        <v>3.56E-2</v>
      </c>
      <c r="F4" s="138">
        <v>9.1999999999999998E-3</v>
      </c>
    </row>
    <row r="5" spans="1:9" x14ac:dyDescent="0.25">
      <c r="A5" s="202">
        <v>43693</v>
      </c>
      <c r="B5" s="142">
        <v>10.17</v>
      </c>
      <c r="C5" s="138">
        <v>2.7000000000000001E-3</v>
      </c>
      <c r="D5" s="142">
        <v>2170.9499999999998</v>
      </c>
      <c r="E5" s="138">
        <v>-1.1999999999999999E-3</v>
      </c>
      <c r="F5" s="138">
        <v>3.8999999999999998E-3</v>
      </c>
    </row>
    <row r="6" spans="1:9" x14ac:dyDescent="0.25">
      <c r="A6" s="202">
        <v>43724</v>
      </c>
      <c r="B6" s="142">
        <v>10.210000000000001</v>
      </c>
      <c r="C6" s="138">
        <v>4.3E-3</v>
      </c>
      <c r="D6" s="142">
        <v>2168.27</v>
      </c>
      <c r="E6" s="138">
        <v>-1.1999999999999999E-3</v>
      </c>
      <c r="F6" s="138">
        <v>5.5999999999999999E-3</v>
      </c>
    </row>
    <row r="7" spans="1:9" x14ac:dyDescent="0.25">
      <c r="A7" s="202">
        <v>43754</v>
      </c>
      <c r="B7" s="142">
        <v>10.039999999999999</v>
      </c>
      <c r="C7" s="138">
        <v>-1.67E-2</v>
      </c>
      <c r="D7" s="142">
        <v>2126.15</v>
      </c>
      <c r="E7" s="138">
        <v>-1.9400000000000001E-2</v>
      </c>
      <c r="F7" s="138">
        <v>2.7000000000000001E-3</v>
      </c>
    </row>
    <row r="8" spans="1:9" x14ac:dyDescent="0.25">
      <c r="A8" s="202">
        <v>43785</v>
      </c>
      <c r="B8" s="142">
        <v>10.1</v>
      </c>
      <c r="C8" s="138">
        <v>6.0000000000000001E-3</v>
      </c>
      <c r="D8" s="142">
        <v>2198.81</v>
      </c>
      <c r="E8" s="138">
        <v>3.4200000000000001E-2</v>
      </c>
      <c r="F8" s="138">
        <v>-2.8199999999999999E-2</v>
      </c>
    </row>
    <row r="9" spans="1:9" x14ac:dyDescent="0.25">
      <c r="A9" s="202">
        <v>43815</v>
      </c>
      <c r="B9" s="142">
        <v>10.08</v>
      </c>
      <c r="C9" s="138">
        <v>-1.8E-3</v>
      </c>
      <c r="D9" s="142">
        <v>2238.83</v>
      </c>
      <c r="E9" s="138">
        <v>1.8200000000000001E-2</v>
      </c>
      <c r="F9" s="138">
        <v>-0.02</v>
      </c>
    </row>
    <row r="10" spans="1:9" x14ac:dyDescent="0.25">
      <c r="A10" s="202">
        <v>43482</v>
      </c>
      <c r="B10" s="142">
        <v>10.28</v>
      </c>
      <c r="C10" s="138">
        <v>1.9400000000000001E-2</v>
      </c>
      <c r="D10" s="142">
        <v>2278.87</v>
      </c>
      <c r="E10" s="138">
        <v>1.7899999999999999E-2</v>
      </c>
      <c r="F10" s="138">
        <v>1.6000000000000001E-3</v>
      </c>
    </row>
    <row r="11" spans="1:9" x14ac:dyDescent="0.25">
      <c r="A11" s="202">
        <v>43513</v>
      </c>
      <c r="B11" s="142">
        <v>10.6</v>
      </c>
      <c r="C11" s="138">
        <v>3.1800000000000002E-2</v>
      </c>
      <c r="D11" s="142">
        <v>2363.64</v>
      </c>
      <c r="E11" s="138">
        <v>3.7199999999999997E-2</v>
      </c>
      <c r="F11" s="138">
        <v>-5.4000000000000003E-3</v>
      </c>
    </row>
    <row r="12" spans="1:9" x14ac:dyDescent="0.25">
      <c r="A12" s="202">
        <v>43541</v>
      </c>
      <c r="B12" s="142">
        <v>10.77</v>
      </c>
      <c r="C12" s="138">
        <v>1.5599999999999999E-2</v>
      </c>
      <c r="D12" s="142">
        <v>2362.7199999999998</v>
      </c>
      <c r="E12" s="138">
        <v>-4.0000000000000002E-4</v>
      </c>
      <c r="F12" s="138">
        <v>1.6E-2</v>
      </c>
    </row>
    <row r="13" spans="1:9" x14ac:dyDescent="0.25">
      <c r="A13" s="202">
        <v>43572</v>
      </c>
      <c r="B13" s="142">
        <v>11.07</v>
      </c>
      <c r="C13" s="138">
        <v>2.8199999999999999E-2</v>
      </c>
      <c r="D13" s="142">
        <v>2384.1999999999998</v>
      </c>
      <c r="E13" s="138">
        <v>9.1000000000000004E-3</v>
      </c>
      <c r="F13" s="138">
        <v>1.9099999999999999E-2</v>
      </c>
    </row>
    <row r="14" spans="1:9" x14ac:dyDescent="0.25">
      <c r="A14" s="202">
        <v>43602</v>
      </c>
      <c r="B14" s="142">
        <v>11.47</v>
      </c>
      <c r="C14" s="138">
        <v>3.5900000000000001E-2</v>
      </c>
      <c r="D14" s="142">
        <v>2411.8000000000002</v>
      </c>
      <c r="E14" s="138">
        <v>1.1599999999999999E-2</v>
      </c>
      <c r="F14" s="138">
        <v>2.4400000000000002E-2</v>
      </c>
    </row>
    <row r="15" spans="1:9" x14ac:dyDescent="0.25">
      <c r="A15" s="202">
        <v>43633</v>
      </c>
      <c r="B15" s="142">
        <v>11.42</v>
      </c>
      <c r="C15" s="138">
        <v>-4.0000000000000001E-3</v>
      </c>
      <c r="D15" s="142">
        <v>2423.41</v>
      </c>
      <c r="E15" s="138">
        <v>4.7999999999999996E-3</v>
      </c>
      <c r="F15" s="138">
        <v>-8.8000000000000005E-3</v>
      </c>
    </row>
    <row r="16" spans="1:9" x14ac:dyDescent="0.25">
      <c r="A16" s="202">
        <v>43663</v>
      </c>
      <c r="B16" s="142">
        <v>11.83</v>
      </c>
      <c r="C16" s="138">
        <v>3.5400000000000001E-2</v>
      </c>
      <c r="D16" s="142">
        <v>2470.3000000000002</v>
      </c>
      <c r="E16" s="138">
        <v>1.9300000000000001E-2</v>
      </c>
      <c r="F16" s="138">
        <v>1.6E-2</v>
      </c>
    </row>
    <row r="17" spans="1:6" x14ac:dyDescent="0.25">
      <c r="A17" s="202">
        <v>43694</v>
      </c>
      <c r="B17" s="142">
        <v>12.02</v>
      </c>
      <c r="C17" s="138">
        <v>1.61E-2</v>
      </c>
      <c r="D17" s="142">
        <v>2471.65</v>
      </c>
      <c r="E17" s="138">
        <v>5.0000000000000001E-4</v>
      </c>
      <c r="F17" s="138">
        <v>1.55E-2</v>
      </c>
    </row>
    <row r="18" spans="1:6" x14ac:dyDescent="0.25">
      <c r="A18" s="202">
        <v>43725</v>
      </c>
      <c r="B18" s="142">
        <v>12.12</v>
      </c>
      <c r="C18" s="138">
        <v>8.5000000000000006E-3</v>
      </c>
      <c r="D18" s="142">
        <v>2519.36</v>
      </c>
      <c r="E18" s="138">
        <v>1.9300000000000001E-2</v>
      </c>
      <c r="F18" s="138">
        <v>-1.0800000000000001E-2</v>
      </c>
    </row>
    <row r="19" spans="1:6" x14ac:dyDescent="0.25">
      <c r="A19" s="202">
        <v>43755</v>
      </c>
      <c r="B19" s="142">
        <v>12.69</v>
      </c>
      <c r="C19" s="138">
        <v>4.7300000000000002E-2</v>
      </c>
      <c r="D19" s="142">
        <v>2575.2600000000002</v>
      </c>
      <c r="E19" s="138">
        <v>2.2200000000000001E-2</v>
      </c>
      <c r="F19" s="138">
        <v>2.5100000000000001E-2</v>
      </c>
    </row>
    <row r="20" spans="1:6" x14ac:dyDescent="0.25">
      <c r="A20" s="202">
        <v>43786</v>
      </c>
      <c r="B20" s="142">
        <v>12.9</v>
      </c>
      <c r="C20" s="138">
        <v>1.5900000000000001E-2</v>
      </c>
      <c r="D20" s="142">
        <v>2584.84</v>
      </c>
      <c r="E20" s="138">
        <v>3.7000000000000002E-3</v>
      </c>
      <c r="F20" s="138">
        <v>1.2200000000000001E-2</v>
      </c>
    </row>
    <row r="21" spans="1:6" x14ac:dyDescent="0.25">
      <c r="A21" s="202">
        <v>43816</v>
      </c>
      <c r="B21" s="142">
        <v>12.25</v>
      </c>
      <c r="C21" s="138">
        <v>-5.0299999999999997E-2</v>
      </c>
      <c r="D21" s="142">
        <v>2673.61</v>
      </c>
      <c r="E21" s="138">
        <v>3.4299999999999997E-2</v>
      </c>
      <c r="F21" s="138">
        <v>-8.4599999999999995E-2</v>
      </c>
    </row>
    <row r="22" spans="1:6" x14ac:dyDescent="0.25">
      <c r="A22" s="202">
        <v>43483</v>
      </c>
      <c r="B22" s="142">
        <v>13.38</v>
      </c>
      <c r="C22" s="138">
        <v>9.2799999999999994E-2</v>
      </c>
      <c r="D22" s="142">
        <v>2823.81</v>
      </c>
      <c r="E22" s="138">
        <v>5.62E-2</v>
      </c>
      <c r="F22" s="138">
        <v>3.6600000000000001E-2</v>
      </c>
    </row>
    <row r="23" spans="1:6" x14ac:dyDescent="0.25">
      <c r="A23" s="202">
        <v>43514</v>
      </c>
      <c r="B23" s="142">
        <v>12.88</v>
      </c>
      <c r="C23" s="138">
        <v>-3.7600000000000001E-2</v>
      </c>
      <c r="D23" s="142">
        <v>2713.83</v>
      </c>
      <c r="E23" s="138">
        <v>-3.8899999999999997E-2</v>
      </c>
      <c r="F23" s="138">
        <v>1.4E-3</v>
      </c>
    </row>
    <row r="24" spans="1:6" x14ac:dyDescent="0.25">
      <c r="A24" s="202">
        <v>43542</v>
      </c>
      <c r="B24" s="142">
        <v>12.43</v>
      </c>
      <c r="C24" s="138">
        <v>-3.5200000000000002E-2</v>
      </c>
      <c r="D24" s="142">
        <v>2640.87</v>
      </c>
      <c r="E24" s="138">
        <v>-2.69E-2</v>
      </c>
      <c r="F24" s="138">
        <v>-8.3000000000000001E-3</v>
      </c>
    </row>
    <row r="25" spans="1:6" x14ac:dyDescent="0.25">
      <c r="A25" s="202">
        <v>43573</v>
      </c>
      <c r="B25" s="142">
        <v>12.58</v>
      </c>
      <c r="C25" s="138">
        <v>1.2E-2</v>
      </c>
      <c r="D25" s="142">
        <v>2648.05</v>
      </c>
      <c r="E25" s="138">
        <v>2.7000000000000001E-3</v>
      </c>
      <c r="F25" s="138">
        <v>9.2999999999999992E-3</v>
      </c>
    </row>
    <row r="26" spans="1:6" x14ac:dyDescent="0.25">
      <c r="A26" s="202">
        <v>43603</v>
      </c>
      <c r="B26" s="142">
        <v>13.09</v>
      </c>
      <c r="C26" s="138">
        <v>4.0599999999999997E-2</v>
      </c>
      <c r="D26" s="142">
        <v>2705.27</v>
      </c>
      <c r="E26" s="138">
        <v>2.1600000000000001E-2</v>
      </c>
      <c r="F26" s="138">
        <v>1.89E-2</v>
      </c>
    </row>
    <row r="27" spans="1:6" x14ac:dyDescent="0.25">
      <c r="A27" s="202">
        <v>43634</v>
      </c>
      <c r="B27" s="142">
        <v>13.21</v>
      </c>
      <c r="C27" s="138">
        <v>9.1999999999999998E-3</v>
      </c>
      <c r="D27" s="142">
        <v>2718.37</v>
      </c>
      <c r="E27" s="138">
        <v>4.7999999999999996E-3</v>
      </c>
      <c r="F27" s="138">
        <v>4.4000000000000003E-3</v>
      </c>
    </row>
    <row r="28" spans="1:6" x14ac:dyDescent="0.25">
      <c r="A28" s="202">
        <v>43664</v>
      </c>
      <c r="B28" s="142">
        <v>13.46</v>
      </c>
      <c r="C28" s="138">
        <v>1.9400000000000001E-2</v>
      </c>
      <c r="D28" s="142">
        <v>2816.29</v>
      </c>
      <c r="E28" s="138">
        <v>3.5999999999999997E-2</v>
      </c>
      <c r="F28" s="138">
        <v>-1.66E-2</v>
      </c>
    </row>
    <row r="29" spans="1:6" x14ac:dyDescent="0.25">
      <c r="A29" s="202">
        <v>43695</v>
      </c>
      <c r="B29" s="142">
        <v>14.07</v>
      </c>
      <c r="C29" s="138">
        <v>4.5100000000000001E-2</v>
      </c>
      <c r="D29" s="142">
        <v>2901.52</v>
      </c>
      <c r="E29" s="138">
        <v>3.0300000000000001E-2</v>
      </c>
      <c r="F29" s="138">
        <v>1.4800000000000001E-2</v>
      </c>
    </row>
    <row r="30" spans="1:6" x14ac:dyDescent="0.25">
      <c r="A30" s="202">
        <v>43726</v>
      </c>
      <c r="B30" s="142">
        <v>14.09</v>
      </c>
      <c r="C30" s="138">
        <v>1.4E-3</v>
      </c>
      <c r="D30" s="203">
        <v>2913.98</v>
      </c>
      <c r="E30" s="204">
        <v>4.3E-3</v>
      </c>
      <c r="F30" s="138">
        <v>-2.8999999999999998E-3</v>
      </c>
    </row>
    <row r="31" spans="1:6" x14ac:dyDescent="0.25">
      <c r="A31" s="202">
        <v>43756</v>
      </c>
      <c r="B31" s="142">
        <v>12.72</v>
      </c>
      <c r="C31" s="138">
        <v>-9.7199999999999995E-2</v>
      </c>
      <c r="D31" s="142">
        <v>2711.74</v>
      </c>
      <c r="E31" s="138">
        <v>-6.9400000000000003E-2</v>
      </c>
      <c r="F31" s="138">
        <v>-2.7799999999999998E-2</v>
      </c>
    </row>
    <row r="32" spans="1:6" x14ac:dyDescent="0.25">
      <c r="A32" s="202">
        <v>43787</v>
      </c>
      <c r="B32" s="142">
        <v>12.81</v>
      </c>
      <c r="C32" s="138">
        <v>7.1000000000000004E-3</v>
      </c>
      <c r="D32" s="203">
        <v>2760.17</v>
      </c>
      <c r="E32" s="138">
        <v>1.7899999999999999E-2</v>
      </c>
      <c r="F32" s="138">
        <v>-1.0800000000000001E-2</v>
      </c>
    </row>
    <row r="33" spans="1:8" x14ac:dyDescent="0.25">
      <c r="A33" s="202">
        <v>43817</v>
      </c>
      <c r="B33" s="142">
        <v>11.01</v>
      </c>
      <c r="C33" s="138">
        <v>-0.14050000000000001</v>
      </c>
      <c r="D33" s="142">
        <v>2506.85</v>
      </c>
      <c r="E33" s="138">
        <v>-9.1800000000000007E-2</v>
      </c>
      <c r="F33" s="138">
        <v>-4.87E-2</v>
      </c>
    </row>
    <row r="34" spans="1:8" x14ac:dyDescent="0.25">
      <c r="A34" s="130"/>
      <c r="B34" s="131" t="s">
        <v>68</v>
      </c>
      <c r="C34" s="132">
        <f>_xlfn.COVARIANCE.S(C4:C33,E4:E33)</f>
        <v>1.1695654022988507E-3</v>
      </c>
      <c r="D34" s="133"/>
      <c r="E34" s="132">
        <f>_xlfn.COVARIANCE.S(C4:C33,E4:E33)</f>
        <v>1.1695654022988507E-3</v>
      </c>
      <c r="F34" s="134"/>
    </row>
    <row r="35" spans="1:8" x14ac:dyDescent="0.25">
      <c r="A35" s="130"/>
      <c r="B35" s="131" t="s">
        <v>112</v>
      </c>
      <c r="C35" s="135">
        <f>_xlfn.STDEV.S(C4:C33)</f>
        <v>4.4204056088922923E-2</v>
      </c>
      <c r="D35" s="133"/>
      <c r="E35" s="135">
        <f>_xlfn.STDEV.S(E4:E33)</f>
        <v>3.1058388653423832E-2</v>
      </c>
      <c r="F35" s="134"/>
    </row>
    <row r="36" spans="1:8" x14ac:dyDescent="0.25">
      <c r="A36" s="130"/>
      <c r="B36" s="136" t="s">
        <v>113</v>
      </c>
      <c r="C36" s="135">
        <f>_xlfn.COVARIANCE.S(C4:C33,$E$4:$E$33)/_xlfn.VAR.S($E$4:$E$33)</f>
        <v>1.2124579126785755</v>
      </c>
      <c r="D36" s="137"/>
      <c r="E36" s="135">
        <f>_xlfn.COVARIANCE.S(E4:E33,$E$4:$E$33)/_xlfn.VAR.S($E$4:$E$33)</f>
        <v>1</v>
      </c>
      <c r="F36" s="137"/>
    </row>
    <row r="37" spans="1:8" ht="33" customHeight="1" x14ac:dyDescent="0.25">
      <c r="A37" s="130"/>
      <c r="B37" s="131" t="s">
        <v>114</v>
      </c>
      <c r="C37" s="138">
        <f t="array" ref="C37">PRODUCT(1+C4:C33)^(12/30)-1</f>
        <v>5.1875764335039598E-2</v>
      </c>
      <c r="D37" s="139"/>
      <c r="E37" s="138">
        <f t="array" ref="E37">PRODUCT(1+E4:E33)^(12/30)-1</f>
        <v>7.3636264395170459E-2</v>
      </c>
      <c r="F37" s="139"/>
    </row>
    <row r="38" spans="1:8" ht="35.1" customHeight="1" x14ac:dyDescent="0.25">
      <c r="A38" s="130"/>
      <c r="B38" s="140" t="s">
        <v>48</v>
      </c>
      <c r="C38" s="138">
        <f>_xlfn.STDEV.S(C4:C33)*SQRT(12)</f>
        <v>0.15312734209327777</v>
      </c>
      <c r="D38" s="130"/>
      <c r="E38" s="138">
        <f t="array" ref="E38">_xlfn.STDEV.S(E4:E33)*SQRT(12)</f>
        <v>0.1075894142979016</v>
      </c>
      <c r="F38" s="33"/>
      <c r="G38" s="129"/>
      <c r="H38" s="129"/>
    </row>
    <row r="39" spans="1:8" ht="36" customHeight="1" x14ac:dyDescent="0.25">
      <c r="A39" s="130"/>
      <c r="B39" s="140" t="s">
        <v>115</v>
      </c>
      <c r="C39" s="141">
        <f>C37/C38</f>
        <v>0.3387753201086674</v>
      </c>
      <c r="D39" s="130"/>
      <c r="E39" s="141">
        <f>E37/E38</f>
        <v>0.68441923283717188</v>
      </c>
      <c r="F39" s="130"/>
    </row>
    <row r="40" spans="1:8" ht="32.1" customHeight="1" x14ac:dyDescent="0.25">
      <c r="A40" s="130"/>
      <c r="B40" s="140" t="s">
        <v>116</v>
      </c>
      <c r="C40" s="141">
        <f>(C37-((1+$C$44)^12-1))/C36</f>
        <v>2.2771921483559176E-2</v>
      </c>
      <c r="D40" s="130"/>
      <c r="E40" s="141">
        <f>(E37-((1+$C$44)^12-1))/E36</f>
        <v>4.9370496449767431E-2</v>
      </c>
      <c r="F40" s="130"/>
    </row>
    <row r="41" spans="1:8" ht="32.1" customHeight="1" x14ac:dyDescent="0.25">
      <c r="A41" s="130"/>
      <c r="B41" s="130" t="s">
        <v>117</v>
      </c>
      <c r="C41" s="138">
        <f>_xlfn.STDEV.S(F4:F33)</f>
        <v>2.407025540791578E-2</v>
      </c>
      <c r="D41" s="130"/>
      <c r="E41" s="141"/>
      <c r="F41" s="130"/>
    </row>
    <row r="42" spans="1:8" x14ac:dyDescent="0.25">
      <c r="A42" s="130"/>
      <c r="B42" s="142" t="s">
        <v>118</v>
      </c>
      <c r="C42" s="138">
        <f>C41*SQRT(12)</f>
        <v>8.3381810635339323E-2</v>
      </c>
      <c r="D42" s="130"/>
      <c r="E42" s="130"/>
      <c r="F42" s="130"/>
    </row>
    <row r="43" spans="1:8" ht="39" customHeight="1" x14ac:dyDescent="0.25">
      <c r="A43" s="130"/>
      <c r="B43" s="140" t="s">
        <v>119</v>
      </c>
      <c r="C43" s="141">
        <f>(C37-$E$37)/C42</f>
        <v>-0.26097418482908563</v>
      </c>
      <c r="D43" s="130"/>
      <c r="E43" s="130"/>
      <c r="F43" s="130"/>
    </row>
    <row r="44" spans="1:8" ht="38.1" customHeight="1" x14ac:dyDescent="0.25">
      <c r="A44" s="130"/>
      <c r="B44" s="131" t="s">
        <v>120</v>
      </c>
      <c r="C44" s="143">
        <v>2E-3</v>
      </c>
      <c r="D44" s="130"/>
      <c r="E44" s="130"/>
      <c r="F44" s="1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55D3-F147-49BB-9FE5-7B8934FB882B}">
  <dimension ref="A1:I35"/>
  <sheetViews>
    <sheetView topLeftCell="A17" workbookViewId="0">
      <selection activeCell="E33" sqref="E33"/>
    </sheetView>
  </sheetViews>
  <sheetFormatPr defaultColWidth="11.5703125" defaultRowHeight="15" x14ac:dyDescent="0.25"/>
  <sheetData>
    <row r="1" spans="1:9" ht="60" x14ac:dyDescent="0.25">
      <c r="A1" s="159" t="s">
        <v>110</v>
      </c>
      <c r="B1" s="159" t="s">
        <v>111</v>
      </c>
      <c r="C1" s="159" t="s">
        <v>86</v>
      </c>
      <c r="D1" s="157" t="s">
        <v>121</v>
      </c>
      <c r="E1" s="157" t="s">
        <v>122</v>
      </c>
      <c r="F1" s="157" t="s">
        <v>123</v>
      </c>
      <c r="I1" s="1" t="s">
        <v>166</v>
      </c>
    </row>
    <row r="2" spans="1:9" x14ac:dyDescent="0.25">
      <c r="A2" s="146">
        <v>43632</v>
      </c>
      <c r="B2" s="147">
        <v>9.6999999999999993</v>
      </c>
      <c r="C2" s="130"/>
      <c r="D2" s="130"/>
      <c r="E2" s="130"/>
      <c r="F2" s="130"/>
      <c r="H2" t="s">
        <v>172</v>
      </c>
    </row>
    <row r="3" spans="1:9" x14ac:dyDescent="0.25">
      <c r="A3" s="146">
        <v>43662</v>
      </c>
      <c r="B3" s="130">
        <v>10.14</v>
      </c>
      <c r="C3" s="148">
        <v>4.48E-2</v>
      </c>
      <c r="D3" s="160" t="str">
        <f>IF(C3&lt;0,"yes","no")</f>
        <v>no</v>
      </c>
      <c r="E3" s="149">
        <f>IF(C3&lt;0,(1+E1)*(1+C3)-1,0)</f>
        <v>0</v>
      </c>
      <c r="F3" s="161">
        <f t="array" ref="F3">PRODUCT(1+$C$3:C3)-1</f>
        <v>4.4799999999999951E-2</v>
      </c>
      <c r="H3" t="s">
        <v>174</v>
      </c>
    </row>
    <row r="4" spans="1:9" x14ac:dyDescent="0.25">
      <c r="A4" s="146">
        <v>43693</v>
      </c>
      <c r="B4" s="130">
        <v>10.17</v>
      </c>
      <c r="C4" s="148">
        <v>2.7000000000000001E-3</v>
      </c>
      <c r="D4" s="160" t="str">
        <f t="shared" ref="D4:D32" si="0">IF(C4&lt;0,"yes","no")</f>
        <v>no</v>
      </c>
      <c r="E4" s="149">
        <f t="shared" ref="E4:E32" si="1">IF(C4&lt;0,(1+E3)*(1+C4)-1,0)</f>
        <v>0</v>
      </c>
      <c r="F4" s="161">
        <f t="array" ref="F4">PRODUCT(1+$C$3:C4)-1</f>
        <v>4.7620959999999934E-2</v>
      </c>
    </row>
    <row r="5" spans="1:9" x14ac:dyDescent="0.25">
      <c r="A5" s="146">
        <v>43724</v>
      </c>
      <c r="B5" s="130">
        <v>10.210000000000001</v>
      </c>
      <c r="C5" s="148">
        <v>4.3E-3</v>
      </c>
      <c r="D5" s="160" t="str">
        <f t="shared" si="0"/>
        <v>no</v>
      </c>
      <c r="E5" s="149">
        <f t="shared" si="1"/>
        <v>0</v>
      </c>
      <c r="F5" s="161">
        <f t="array" ref="F5">PRODUCT(1+$C$3:C5)-1</f>
        <v>5.2125730127999814E-2</v>
      </c>
    </row>
    <row r="6" spans="1:9" x14ac:dyDescent="0.25">
      <c r="A6" s="146">
        <v>43754</v>
      </c>
      <c r="B6" s="130">
        <v>10.039999999999999</v>
      </c>
      <c r="C6" s="148">
        <v>-1.67E-2</v>
      </c>
      <c r="D6" s="160" t="str">
        <f t="shared" si="0"/>
        <v>yes</v>
      </c>
      <c r="E6" s="149">
        <f t="shared" si="1"/>
        <v>-1.6700000000000048E-2</v>
      </c>
      <c r="F6" s="161">
        <f t="array" ref="F6">PRODUCT(1+$C$3:C6)-1</f>
        <v>3.4555230434862194E-2</v>
      </c>
    </row>
    <row r="7" spans="1:9" x14ac:dyDescent="0.25">
      <c r="A7" s="146">
        <v>43785</v>
      </c>
      <c r="B7" s="130">
        <v>10.1</v>
      </c>
      <c r="C7" s="148">
        <v>6.0000000000000001E-3</v>
      </c>
      <c r="D7" s="160" t="str">
        <f t="shared" si="0"/>
        <v>no</v>
      </c>
      <c r="E7" s="149">
        <f t="shared" si="1"/>
        <v>0</v>
      </c>
      <c r="F7" s="161">
        <f t="array" ref="F7">PRODUCT(1+$C$3:C7)-1</f>
        <v>4.0762561817471399E-2</v>
      </c>
    </row>
    <row r="8" spans="1:9" x14ac:dyDescent="0.25">
      <c r="A8" s="146">
        <v>43815</v>
      </c>
      <c r="B8" s="130">
        <v>10.08</v>
      </c>
      <c r="C8" s="148">
        <v>-1.8E-3</v>
      </c>
      <c r="D8" s="160" t="str">
        <f t="shared" si="0"/>
        <v>yes</v>
      </c>
      <c r="E8" s="149">
        <f t="shared" si="1"/>
        <v>-1.8000000000000238E-3</v>
      </c>
      <c r="F8" s="161">
        <f t="array" ref="F8">PRODUCT(1+$C$3:C8)-1</f>
        <v>3.8889189206199992E-2</v>
      </c>
    </row>
    <row r="9" spans="1:9" x14ac:dyDescent="0.25">
      <c r="A9" s="146">
        <v>43482</v>
      </c>
      <c r="B9" s="130">
        <v>10.28</v>
      </c>
      <c r="C9" s="148">
        <v>1.9400000000000001E-2</v>
      </c>
      <c r="D9" s="160" t="str">
        <f t="shared" si="0"/>
        <v>no</v>
      </c>
      <c r="E9" s="149">
        <f t="shared" si="1"/>
        <v>0</v>
      </c>
      <c r="F9" s="161">
        <f t="array" ref="F9">PRODUCT(1+$C$3:C9)-1</f>
        <v>5.9043639476800358E-2</v>
      </c>
    </row>
    <row r="10" spans="1:9" x14ac:dyDescent="0.25">
      <c r="A10" s="146">
        <v>43513</v>
      </c>
      <c r="B10" s="130">
        <v>10.6</v>
      </c>
      <c r="C10" s="148">
        <v>3.1800000000000002E-2</v>
      </c>
      <c r="D10" s="160" t="str">
        <f t="shared" si="0"/>
        <v>no</v>
      </c>
      <c r="E10" s="149">
        <f t="shared" si="1"/>
        <v>0</v>
      </c>
      <c r="F10" s="161">
        <f t="array" ref="F10">PRODUCT(1+$C$3:C10)-1</f>
        <v>9.2721227212162693E-2</v>
      </c>
    </row>
    <row r="11" spans="1:9" x14ac:dyDescent="0.25">
      <c r="A11" s="146">
        <v>43541</v>
      </c>
      <c r="B11" s="130">
        <v>10.77</v>
      </c>
      <c r="C11" s="148">
        <v>1.5599999999999999E-2</v>
      </c>
      <c r="D11" s="160" t="str">
        <f t="shared" si="0"/>
        <v>no</v>
      </c>
      <c r="E11" s="149">
        <f t="shared" si="1"/>
        <v>0</v>
      </c>
      <c r="F11" s="161">
        <f t="array" ref="F11">PRODUCT(1+$C$3:C11)-1</f>
        <v>0.10976767835667256</v>
      </c>
    </row>
    <row r="12" spans="1:9" x14ac:dyDescent="0.25">
      <c r="A12" s="146">
        <v>43572</v>
      </c>
      <c r="B12" s="130">
        <v>11.07</v>
      </c>
      <c r="C12" s="148">
        <v>2.8199999999999999E-2</v>
      </c>
      <c r="D12" s="160" t="str">
        <f t="shared" si="0"/>
        <v>no</v>
      </c>
      <c r="E12" s="149">
        <f t="shared" si="1"/>
        <v>0</v>
      </c>
      <c r="F12" s="161">
        <f t="array" ref="F12">PRODUCT(1+$C$3:C12)-1</f>
        <v>0.14106312688633071</v>
      </c>
    </row>
    <row r="13" spans="1:9" x14ac:dyDescent="0.25">
      <c r="A13" s="146">
        <v>43602</v>
      </c>
      <c r="B13" s="130">
        <v>11.47</v>
      </c>
      <c r="C13" s="148">
        <v>3.5900000000000001E-2</v>
      </c>
      <c r="D13" s="160" t="str">
        <f t="shared" si="0"/>
        <v>no</v>
      </c>
      <c r="E13" s="149">
        <f t="shared" si="1"/>
        <v>0</v>
      </c>
      <c r="F13" s="161">
        <f t="array" ref="F13">PRODUCT(1+$C$3:C13)-1</f>
        <v>0.18202729314155008</v>
      </c>
    </row>
    <row r="14" spans="1:9" x14ac:dyDescent="0.25">
      <c r="A14" s="146">
        <v>43633</v>
      </c>
      <c r="B14" s="130">
        <v>11.42</v>
      </c>
      <c r="C14" s="148">
        <v>-4.0000000000000001E-3</v>
      </c>
      <c r="D14" s="160" t="str">
        <f t="shared" si="0"/>
        <v>yes</v>
      </c>
      <c r="E14" s="149">
        <f t="shared" si="1"/>
        <v>-4.0000000000000036E-3</v>
      </c>
      <c r="F14" s="161">
        <f t="array" ref="F14">PRODUCT(1+$C$3:C14)-1</f>
        <v>0.17729918396898392</v>
      </c>
    </row>
    <row r="15" spans="1:9" x14ac:dyDescent="0.25">
      <c r="A15" s="146">
        <v>43663</v>
      </c>
      <c r="B15" s="130">
        <v>11.83</v>
      </c>
      <c r="C15" s="148">
        <v>3.5400000000000001E-2</v>
      </c>
      <c r="D15" s="160" t="str">
        <f t="shared" si="0"/>
        <v>no</v>
      </c>
      <c r="E15" s="149">
        <f t="shared" si="1"/>
        <v>0</v>
      </c>
      <c r="F15" s="161">
        <f t="array" ref="F15">PRODUCT(1+$C$3:C15)-1</f>
        <v>0.21897557508148613</v>
      </c>
    </row>
    <row r="16" spans="1:9" x14ac:dyDescent="0.25">
      <c r="A16" s="146">
        <v>43694</v>
      </c>
      <c r="B16" s="130">
        <v>12.02</v>
      </c>
      <c r="C16" s="148">
        <v>1.61E-2</v>
      </c>
      <c r="D16" s="160" t="str">
        <f t="shared" si="0"/>
        <v>no</v>
      </c>
      <c r="E16" s="149">
        <f t="shared" si="1"/>
        <v>0</v>
      </c>
      <c r="F16" s="161">
        <f t="array" ref="F16">PRODUCT(1+$C$3:C16)-1</f>
        <v>0.23860108184029816</v>
      </c>
    </row>
    <row r="17" spans="1:6" x14ac:dyDescent="0.25">
      <c r="A17" s="146">
        <v>43725</v>
      </c>
      <c r="B17" s="130">
        <v>12.12</v>
      </c>
      <c r="C17" s="148">
        <v>8.5000000000000006E-3</v>
      </c>
      <c r="D17" s="160" t="str">
        <f t="shared" si="0"/>
        <v>no</v>
      </c>
      <c r="E17" s="149">
        <f t="shared" si="1"/>
        <v>0</v>
      </c>
      <c r="F17" s="161">
        <f t="array" ref="F17">PRODUCT(1+$C$3:C17)-1</f>
        <v>0.24912919103594056</v>
      </c>
    </row>
    <row r="18" spans="1:6" x14ac:dyDescent="0.25">
      <c r="A18" s="146">
        <v>43755</v>
      </c>
      <c r="B18" s="130">
        <v>12.69</v>
      </c>
      <c r="C18" s="148">
        <v>4.7300000000000002E-2</v>
      </c>
      <c r="D18" s="160" t="str">
        <f t="shared" si="0"/>
        <v>no</v>
      </c>
      <c r="E18" s="149">
        <f t="shared" si="1"/>
        <v>0</v>
      </c>
      <c r="F18" s="161">
        <f t="array" ref="F18">PRODUCT(1+$C$3:C18)-1</f>
        <v>0.30821300177194044</v>
      </c>
    </row>
    <row r="19" spans="1:6" x14ac:dyDescent="0.25">
      <c r="A19" s="146">
        <v>43786</v>
      </c>
      <c r="B19" s="130">
        <v>12.9</v>
      </c>
      <c r="C19" s="148">
        <v>1.5900000000000001E-2</v>
      </c>
      <c r="D19" s="160" t="str">
        <f t="shared" si="0"/>
        <v>no</v>
      </c>
      <c r="E19" s="149">
        <f t="shared" si="1"/>
        <v>0</v>
      </c>
      <c r="F19" s="161">
        <f t="array" ref="F19">PRODUCT(1+$C$3:C19)-1</f>
        <v>0.32901358850011442</v>
      </c>
    </row>
    <row r="20" spans="1:6" x14ac:dyDescent="0.25">
      <c r="A20" s="146">
        <v>43816</v>
      </c>
      <c r="B20" s="130">
        <v>12.25</v>
      </c>
      <c r="C20" s="148">
        <v>-5.0299999999999997E-2</v>
      </c>
      <c r="D20" s="160" t="str">
        <f t="shared" si="0"/>
        <v>yes</v>
      </c>
      <c r="E20" s="149">
        <f t="shared" si="1"/>
        <v>-5.0300000000000011E-2</v>
      </c>
      <c r="F20" s="161">
        <f t="array" ref="F20">PRODUCT(1+$C$3:C20)-1</f>
        <v>0.26216420499855864</v>
      </c>
    </row>
    <row r="21" spans="1:6" x14ac:dyDescent="0.25">
      <c r="A21" s="146">
        <v>43483</v>
      </c>
      <c r="B21" s="130">
        <v>13.38</v>
      </c>
      <c r="C21" s="148">
        <v>9.2799999999999994E-2</v>
      </c>
      <c r="D21" s="160" t="str">
        <f t="shared" si="0"/>
        <v>no</v>
      </c>
      <c r="E21" s="149">
        <f t="shared" si="1"/>
        <v>0</v>
      </c>
      <c r="F21" s="161">
        <f t="array" ref="F21">PRODUCT(1+$C$3:C21)-1</f>
        <v>0.37929304322242485</v>
      </c>
    </row>
    <row r="22" spans="1:6" x14ac:dyDescent="0.25">
      <c r="A22" s="146">
        <v>43514</v>
      </c>
      <c r="B22" s="130">
        <v>12.88</v>
      </c>
      <c r="C22" s="148">
        <v>-3.7600000000000001E-2</v>
      </c>
      <c r="D22" s="160" t="str">
        <f t="shared" si="0"/>
        <v>yes</v>
      </c>
      <c r="E22" s="149">
        <f t="shared" si="1"/>
        <v>-3.7599999999999967E-2</v>
      </c>
      <c r="F22" s="161">
        <f t="array" ref="F22">PRODUCT(1+$C$3:C22)-1</f>
        <v>0.32743162479726173</v>
      </c>
    </row>
    <row r="23" spans="1:6" x14ac:dyDescent="0.25">
      <c r="A23" s="146">
        <v>43542</v>
      </c>
      <c r="B23" s="130">
        <v>12.43</v>
      </c>
      <c r="C23" s="148">
        <v>-3.5200000000000002E-2</v>
      </c>
      <c r="D23" s="160" t="str">
        <f t="shared" si="0"/>
        <v>yes</v>
      </c>
      <c r="E23" s="149">
        <f t="shared" si="1"/>
        <v>-7.1476479999999953E-2</v>
      </c>
      <c r="F23" s="161">
        <f t="array" ref="F23">PRODUCT(1+$C$3:C23)-1</f>
        <v>0.28070603160439811</v>
      </c>
    </row>
    <row r="24" spans="1:6" x14ac:dyDescent="0.25">
      <c r="A24" s="146">
        <v>43573</v>
      </c>
      <c r="B24" s="130">
        <v>12.58</v>
      </c>
      <c r="C24" s="148">
        <v>1.2E-2</v>
      </c>
      <c r="D24" s="160" t="str">
        <f t="shared" si="0"/>
        <v>no</v>
      </c>
      <c r="E24" s="149">
        <f t="shared" si="1"/>
        <v>0</v>
      </c>
      <c r="F24" s="161">
        <f t="array" ref="F24">PRODUCT(1+$C$3:C24)-1</f>
        <v>0.29607450398365098</v>
      </c>
    </row>
    <row r="25" spans="1:6" x14ac:dyDescent="0.25">
      <c r="A25" s="146">
        <v>43603</v>
      </c>
      <c r="B25" s="130">
        <v>13.09</v>
      </c>
      <c r="C25" s="148">
        <v>4.0599999999999997E-2</v>
      </c>
      <c r="D25" s="160" t="str">
        <f t="shared" si="0"/>
        <v>no</v>
      </c>
      <c r="E25" s="149">
        <f t="shared" si="1"/>
        <v>0</v>
      </c>
      <c r="F25" s="161">
        <f t="array" ref="F25">PRODUCT(1+$C$3:C25)-1</f>
        <v>0.34869512884538723</v>
      </c>
    </row>
    <row r="26" spans="1:6" x14ac:dyDescent="0.25">
      <c r="A26" s="146">
        <v>43634</v>
      </c>
      <c r="B26" s="130">
        <v>13.21</v>
      </c>
      <c r="C26" s="148">
        <v>9.1999999999999998E-3</v>
      </c>
      <c r="D26" s="160" t="str">
        <f t="shared" si="0"/>
        <v>no</v>
      </c>
      <c r="E26" s="149">
        <f t="shared" si="1"/>
        <v>0</v>
      </c>
      <c r="F26" s="161">
        <f t="array" ref="F26">PRODUCT(1+$C$3:C26)-1</f>
        <v>0.36110312403076494</v>
      </c>
    </row>
    <row r="27" spans="1:6" x14ac:dyDescent="0.25">
      <c r="A27" s="146">
        <v>43664</v>
      </c>
      <c r="B27" s="130">
        <v>13.46</v>
      </c>
      <c r="C27" s="148">
        <v>1.9400000000000001E-2</v>
      </c>
      <c r="D27" s="160" t="str">
        <f t="shared" si="0"/>
        <v>no</v>
      </c>
      <c r="E27" s="149">
        <f t="shared" si="1"/>
        <v>0</v>
      </c>
      <c r="F27" s="161">
        <f t="array" ref="F27">PRODUCT(1+$C$3:C27)-1</f>
        <v>0.38750852463696184</v>
      </c>
    </row>
    <row r="28" spans="1:6" x14ac:dyDescent="0.25">
      <c r="A28" s="146">
        <v>43695</v>
      </c>
      <c r="B28" s="130">
        <v>14.07</v>
      </c>
      <c r="C28" s="148">
        <v>4.5100000000000001E-2</v>
      </c>
      <c r="D28" s="160" t="str">
        <f t="shared" si="0"/>
        <v>no</v>
      </c>
      <c r="E28" s="149">
        <f t="shared" si="1"/>
        <v>0</v>
      </c>
      <c r="F28" s="161">
        <f t="array" ref="F28">PRODUCT(1+$C$3:C28)-1</f>
        <v>0.45008515909808877</v>
      </c>
    </row>
    <row r="29" spans="1:6" x14ac:dyDescent="0.25">
      <c r="A29" s="146">
        <v>43726</v>
      </c>
      <c r="B29" s="130">
        <v>14.09</v>
      </c>
      <c r="C29" s="148">
        <v>1.4E-3</v>
      </c>
      <c r="D29" s="160" t="str">
        <f t="shared" si="0"/>
        <v>no</v>
      </c>
      <c r="E29" s="149">
        <f t="shared" si="1"/>
        <v>0</v>
      </c>
      <c r="F29" s="161">
        <f t="array" ref="F29">PRODUCT(1+$C$3:C29)-1</f>
        <v>0.45211527832082621</v>
      </c>
    </row>
    <row r="30" spans="1:6" x14ac:dyDescent="0.25">
      <c r="A30" s="146">
        <v>43756</v>
      </c>
      <c r="B30" s="130">
        <v>12.72</v>
      </c>
      <c r="C30" s="148">
        <v>-9.7199999999999995E-2</v>
      </c>
      <c r="D30" s="160" t="str">
        <f t="shared" si="0"/>
        <v>yes</v>
      </c>
      <c r="E30" s="149">
        <f t="shared" si="1"/>
        <v>-9.7199999999999953E-2</v>
      </c>
      <c r="F30" s="161">
        <f t="array" ref="F30">PRODUCT(1+$C$3:C30)-1</f>
        <v>0.31096967326804204</v>
      </c>
    </row>
    <row r="31" spans="1:6" x14ac:dyDescent="0.25">
      <c r="A31" s="146">
        <v>43787</v>
      </c>
      <c r="B31" s="130">
        <v>12.81</v>
      </c>
      <c r="C31" s="148">
        <v>7.1000000000000004E-3</v>
      </c>
      <c r="D31" s="160" t="str">
        <f t="shared" si="0"/>
        <v>no</v>
      </c>
      <c r="E31" s="149">
        <f t="shared" si="1"/>
        <v>0</v>
      </c>
      <c r="F31" s="161">
        <f t="array" ref="F31">PRODUCT(1+$C$3:C31)-1</f>
        <v>0.32027755794824531</v>
      </c>
    </row>
    <row r="32" spans="1:6" x14ac:dyDescent="0.25">
      <c r="A32" s="146">
        <v>43817</v>
      </c>
      <c r="B32" s="130">
        <v>11.01</v>
      </c>
      <c r="C32" s="148">
        <v>-0.14050000000000001</v>
      </c>
      <c r="D32" s="160" t="str">
        <f t="shared" si="0"/>
        <v>yes</v>
      </c>
      <c r="E32" s="149">
        <f t="shared" si="1"/>
        <v>-0.14050000000000007</v>
      </c>
      <c r="F32" s="161">
        <f t="array" ref="F32">PRODUCT(1+$C$3:C32)-1</f>
        <v>0.13477856105651664</v>
      </c>
    </row>
    <row r="33" spans="3:5" x14ac:dyDescent="0.25">
      <c r="D33" s="29" t="s">
        <v>124</v>
      </c>
      <c r="E33" s="26">
        <f>MIN(E3:E32)</f>
        <v>-0.14050000000000007</v>
      </c>
    </row>
    <row r="34" spans="3:5" x14ac:dyDescent="0.25">
      <c r="D34" s="129"/>
      <c r="E34" s="129"/>
    </row>
    <row r="35" spans="3:5" x14ac:dyDescent="0.25">
      <c r="C35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7DAE-470C-4849-BA46-0B2633D8F1F8}">
  <dimension ref="A1:K35"/>
  <sheetViews>
    <sheetView topLeftCell="A25" workbookViewId="0">
      <selection activeCell="C34" sqref="C34"/>
    </sheetView>
  </sheetViews>
  <sheetFormatPr defaultColWidth="11.5703125" defaultRowHeight="15" x14ac:dyDescent="0.25"/>
  <sheetData>
    <row r="1" spans="1:11" ht="30" x14ac:dyDescent="0.25">
      <c r="A1" s="144" t="s">
        <v>110</v>
      </c>
      <c r="B1" s="144" t="s">
        <v>111</v>
      </c>
      <c r="C1" s="144" t="s">
        <v>86</v>
      </c>
      <c r="D1" s="145" t="s">
        <v>127</v>
      </c>
      <c r="E1" s="145" t="s">
        <v>128</v>
      </c>
      <c r="F1" s="260"/>
      <c r="G1" s="275"/>
      <c r="H1" t="s">
        <v>172</v>
      </c>
      <c r="I1" s="1" t="s">
        <v>166</v>
      </c>
      <c r="J1" s="275"/>
      <c r="K1" s="275"/>
    </row>
    <row r="2" spans="1:11" x14ac:dyDescent="0.25">
      <c r="A2" s="146">
        <v>43632</v>
      </c>
      <c r="B2" s="147">
        <v>9.6999999999999993</v>
      </c>
      <c r="C2" s="130"/>
      <c r="D2" s="130"/>
      <c r="E2" s="130"/>
      <c r="F2" s="260"/>
      <c r="H2" t="s">
        <v>174</v>
      </c>
    </row>
    <row r="3" spans="1:11" x14ac:dyDescent="0.25">
      <c r="A3" s="146">
        <v>43662</v>
      </c>
      <c r="B3" s="130">
        <v>10.14</v>
      </c>
      <c r="C3" s="148">
        <v>4.48E-2</v>
      </c>
      <c r="D3" s="149" t="str">
        <f t="shared" ref="D3:D32" si="0">IF(C3&lt;0.002,"yes","no")</f>
        <v>no</v>
      </c>
      <c r="E3" s="33">
        <f t="shared" ref="E3:E32" si="1">IF(D3="yes",(0.002-C3)^2,0)</f>
        <v>0</v>
      </c>
      <c r="F3" s="260"/>
    </row>
    <row r="4" spans="1:11" x14ac:dyDescent="0.25">
      <c r="A4" s="146">
        <v>43693</v>
      </c>
      <c r="B4" s="130">
        <v>10.17</v>
      </c>
      <c r="C4" s="148">
        <v>2.7000000000000001E-3</v>
      </c>
      <c r="D4" s="149" t="str">
        <f t="shared" si="0"/>
        <v>no</v>
      </c>
      <c r="E4" s="33">
        <f t="shared" si="1"/>
        <v>0</v>
      </c>
      <c r="F4" s="260"/>
    </row>
    <row r="5" spans="1:11" x14ac:dyDescent="0.25">
      <c r="A5" s="146">
        <v>43724</v>
      </c>
      <c r="B5" s="130">
        <v>10.210000000000001</v>
      </c>
      <c r="C5" s="148">
        <v>4.3E-3</v>
      </c>
      <c r="D5" s="149" t="str">
        <f t="shared" si="0"/>
        <v>no</v>
      </c>
      <c r="E5" s="33">
        <f t="shared" si="1"/>
        <v>0</v>
      </c>
      <c r="F5" s="260"/>
    </row>
    <row r="6" spans="1:11" x14ac:dyDescent="0.25">
      <c r="A6" s="146">
        <v>43754</v>
      </c>
      <c r="B6" s="130">
        <v>10.039999999999999</v>
      </c>
      <c r="C6" s="148">
        <v>-1.67E-2</v>
      </c>
      <c r="D6" s="149" t="str">
        <f t="shared" si="0"/>
        <v>yes</v>
      </c>
      <c r="E6" s="33">
        <f t="shared" si="1"/>
        <v>3.4969000000000005E-4</v>
      </c>
      <c r="F6" s="260"/>
    </row>
    <row r="7" spans="1:11" x14ac:dyDescent="0.25">
      <c r="A7" s="146">
        <v>43785</v>
      </c>
      <c r="B7" s="130">
        <v>10.1</v>
      </c>
      <c r="C7" s="148">
        <v>6.0000000000000001E-3</v>
      </c>
      <c r="D7" s="149" t="str">
        <f t="shared" si="0"/>
        <v>no</v>
      </c>
      <c r="E7" s="33">
        <f t="shared" si="1"/>
        <v>0</v>
      </c>
      <c r="F7" s="260"/>
    </row>
    <row r="8" spans="1:11" x14ac:dyDescent="0.25">
      <c r="A8" s="146">
        <v>43815</v>
      </c>
      <c r="B8" s="130">
        <v>10.08</v>
      </c>
      <c r="C8" s="148">
        <v>-1.8E-3</v>
      </c>
      <c r="D8" s="149" t="str">
        <f t="shared" si="0"/>
        <v>yes</v>
      </c>
      <c r="E8" s="33">
        <f t="shared" si="1"/>
        <v>1.4440000000000001E-5</v>
      </c>
      <c r="F8" s="260"/>
    </row>
    <row r="9" spans="1:11" x14ac:dyDescent="0.25">
      <c r="A9" s="146">
        <v>43482</v>
      </c>
      <c r="B9" s="130">
        <v>10.28</v>
      </c>
      <c r="C9" s="148">
        <v>1.9400000000000001E-2</v>
      </c>
      <c r="D9" s="149" t="str">
        <f t="shared" si="0"/>
        <v>no</v>
      </c>
      <c r="E9" s="33">
        <f t="shared" si="1"/>
        <v>0</v>
      </c>
      <c r="F9" s="260"/>
    </row>
    <row r="10" spans="1:11" x14ac:dyDescent="0.25">
      <c r="A10" s="146">
        <v>43513</v>
      </c>
      <c r="B10" s="130">
        <v>10.6</v>
      </c>
      <c r="C10" s="148">
        <v>3.1800000000000002E-2</v>
      </c>
      <c r="D10" s="149" t="str">
        <f t="shared" si="0"/>
        <v>no</v>
      </c>
      <c r="E10" s="33">
        <f t="shared" si="1"/>
        <v>0</v>
      </c>
      <c r="F10" s="260"/>
    </row>
    <row r="11" spans="1:11" x14ac:dyDescent="0.25">
      <c r="A11" s="146">
        <v>43541</v>
      </c>
      <c r="B11" s="130">
        <v>10.77</v>
      </c>
      <c r="C11" s="148">
        <v>1.5599999999999999E-2</v>
      </c>
      <c r="D11" s="149" t="str">
        <f t="shared" si="0"/>
        <v>no</v>
      </c>
      <c r="E11" s="33">
        <f t="shared" si="1"/>
        <v>0</v>
      </c>
      <c r="F11" s="260"/>
    </row>
    <row r="12" spans="1:11" x14ac:dyDescent="0.25">
      <c r="A12" s="146">
        <v>43572</v>
      </c>
      <c r="B12" s="130">
        <v>11.07</v>
      </c>
      <c r="C12" s="148">
        <v>2.8199999999999999E-2</v>
      </c>
      <c r="D12" s="149" t="str">
        <f t="shared" si="0"/>
        <v>no</v>
      </c>
      <c r="E12" s="33">
        <f t="shared" si="1"/>
        <v>0</v>
      </c>
      <c r="F12" s="260"/>
    </row>
    <row r="13" spans="1:11" x14ac:dyDescent="0.25">
      <c r="A13" s="146">
        <v>43602</v>
      </c>
      <c r="B13" s="130">
        <v>11.47</v>
      </c>
      <c r="C13" s="148">
        <v>3.5900000000000001E-2</v>
      </c>
      <c r="D13" s="149" t="str">
        <f t="shared" si="0"/>
        <v>no</v>
      </c>
      <c r="E13" s="33">
        <f t="shared" si="1"/>
        <v>0</v>
      </c>
      <c r="F13" s="260"/>
    </row>
    <row r="14" spans="1:11" x14ac:dyDescent="0.25">
      <c r="A14" s="146">
        <v>43633</v>
      </c>
      <c r="B14" s="130">
        <v>11.42</v>
      </c>
      <c r="C14" s="148">
        <v>-4.0000000000000001E-3</v>
      </c>
      <c r="D14" s="149" t="str">
        <f t="shared" si="0"/>
        <v>yes</v>
      </c>
      <c r="E14" s="33">
        <f t="shared" si="1"/>
        <v>3.6000000000000001E-5</v>
      </c>
      <c r="F14" s="260"/>
    </row>
    <row r="15" spans="1:11" x14ac:dyDescent="0.25">
      <c r="A15" s="146">
        <v>43663</v>
      </c>
      <c r="B15" s="130">
        <v>11.83</v>
      </c>
      <c r="C15" s="148">
        <v>3.5400000000000001E-2</v>
      </c>
      <c r="D15" s="149" t="str">
        <f t="shared" si="0"/>
        <v>no</v>
      </c>
      <c r="E15" s="33">
        <f t="shared" si="1"/>
        <v>0</v>
      </c>
      <c r="F15" s="260"/>
    </row>
    <row r="16" spans="1:11" x14ac:dyDescent="0.25">
      <c r="A16" s="146">
        <v>43694</v>
      </c>
      <c r="B16" s="130">
        <v>12.02</v>
      </c>
      <c r="C16" s="148">
        <v>1.61E-2</v>
      </c>
      <c r="D16" s="149" t="str">
        <f t="shared" si="0"/>
        <v>no</v>
      </c>
      <c r="E16" s="33">
        <f t="shared" si="1"/>
        <v>0</v>
      </c>
      <c r="F16" s="260"/>
    </row>
    <row r="17" spans="1:6" x14ac:dyDescent="0.25">
      <c r="A17" s="146">
        <v>43725</v>
      </c>
      <c r="B17" s="130">
        <v>12.12</v>
      </c>
      <c r="C17" s="148">
        <v>8.5000000000000006E-3</v>
      </c>
      <c r="D17" s="149" t="str">
        <f t="shared" si="0"/>
        <v>no</v>
      </c>
      <c r="E17" s="33">
        <f t="shared" si="1"/>
        <v>0</v>
      </c>
      <c r="F17" s="260"/>
    </row>
    <row r="18" spans="1:6" x14ac:dyDescent="0.25">
      <c r="A18" s="146">
        <v>43755</v>
      </c>
      <c r="B18" s="130">
        <v>12.69</v>
      </c>
      <c r="C18" s="148">
        <v>4.7300000000000002E-2</v>
      </c>
      <c r="D18" s="149" t="str">
        <f t="shared" si="0"/>
        <v>no</v>
      </c>
      <c r="E18" s="33">
        <f t="shared" si="1"/>
        <v>0</v>
      </c>
      <c r="F18" s="260"/>
    </row>
    <row r="19" spans="1:6" x14ac:dyDescent="0.25">
      <c r="A19" s="146">
        <v>43786</v>
      </c>
      <c r="B19" s="130">
        <v>12.9</v>
      </c>
      <c r="C19" s="148">
        <v>1.5900000000000001E-2</v>
      </c>
      <c r="D19" s="149" t="str">
        <f t="shared" si="0"/>
        <v>no</v>
      </c>
      <c r="E19" s="33">
        <f t="shared" si="1"/>
        <v>0</v>
      </c>
      <c r="F19" s="260"/>
    </row>
    <row r="20" spans="1:6" x14ac:dyDescent="0.25">
      <c r="A20" s="146">
        <v>43816</v>
      </c>
      <c r="B20" s="130">
        <v>12.25</v>
      </c>
      <c r="C20" s="148">
        <v>-5.0299999999999997E-2</v>
      </c>
      <c r="D20" s="149" t="str">
        <f t="shared" si="0"/>
        <v>yes</v>
      </c>
      <c r="E20" s="33">
        <f t="shared" si="1"/>
        <v>2.73529E-3</v>
      </c>
      <c r="F20" s="260"/>
    </row>
    <row r="21" spans="1:6" x14ac:dyDescent="0.25">
      <c r="A21" s="146">
        <v>43483</v>
      </c>
      <c r="B21" s="130">
        <v>13.38</v>
      </c>
      <c r="C21" s="148">
        <v>9.2799999999999994E-2</v>
      </c>
      <c r="D21" s="149" t="str">
        <f t="shared" si="0"/>
        <v>no</v>
      </c>
      <c r="E21" s="33">
        <f t="shared" si="1"/>
        <v>0</v>
      </c>
      <c r="F21" s="260"/>
    </row>
    <row r="22" spans="1:6" x14ac:dyDescent="0.25">
      <c r="A22" s="146">
        <v>43514</v>
      </c>
      <c r="B22" s="130">
        <v>12.88</v>
      </c>
      <c r="C22" s="148">
        <v>-3.7600000000000001E-2</v>
      </c>
      <c r="D22" s="149" t="str">
        <f t="shared" si="0"/>
        <v>yes</v>
      </c>
      <c r="E22" s="33">
        <f t="shared" si="1"/>
        <v>1.5681600000000003E-3</v>
      </c>
      <c r="F22" s="260"/>
    </row>
    <row r="23" spans="1:6" x14ac:dyDescent="0.25">
      <c r="A23" s="146">
        <v>43542</v>
      </c>
      <c r="B23" s="130">
        <v>12.43</v>
      </c>
      <c r="C23" s="148">
        <v>-3.5200000000000002E-2</v>
      </c>
      <c r="D23" s="149" t="str">
        <f t="shared" si="0"/>
        <v>yes</v>
      </c>
      <c r="E23" s="33">
        <f t="shared" si="1"/>
        <v>1.3838400000000003E-3</v>
      </c>
      <c r="F23" s="260"/>
    </row>
    <row r="24" spans="1:6" x14ac:dyDescent="0.25">
      <c r="A24" s="146">
        <v>43573</v>
      </c>
      <c r="B24" s="130">
        <v>12.58</v>
      </c>
      <c r="C24" s="148">
        <v>1.2E-2</v>
      </c>
      <c r="D24" s="149" t="str">
        <f t="shared" si="0"/>
        <v>no</v>
      </c>
      <c r="E24" s="33">
        <f t="shared" si="1"/>
        <v>0</v>
      </c>
      <c r="F24" s="260"/>
    </row>
    <row r="25" spans="1:6" x14ac:dyDescent="0.25">
      <c r="A25" s="146">
        <v>43603</v>
      </c>
      <c r="B25" s="130">
        <v>13.09</v>
      </c>
      <c r="C25" s="148">
        <v>4.0599999999999997E-2</v>
      </c>
      <c r="D25" s="149" t="str">
        <f t="shared" si="0"/>
        <v>no</v>
      </c>
      <c r="E25" s="33">
        <f t="shared" si="1"/>
        <v>0</v>
      </c>
      <c r="F25" s="260"/>
    </row>
    <row r="26" spans="1:6" x14ac:dyDescent="0.25">
      <c r="A26" s="146">
        <v>43634</v>
      </c>
      <c r="B26" s="130">
        <v>13.21</v>
      </c>
      <c r="C26" s="148">
        <v>9.1999999999999998E-3</v>
      </c>
      <c r="D26" s="149" t="str">
        <f t="shared" si="0"/>
        <v>no</v>
      </c>
      <c r="E26" s="33">
        <f t="shared" si="1"/>
        <v>0</v>
      </c>
      <c r="F26" s="260"/>
    </row>
    <row r="27" spans="1:6" x14ac:dyDescent="0.25">
      <c r="A27" s="146">
        <v>43664</v>
      </c>
      <c r="B27" s="130">
        <v>13.46</v>
      </c>
      <c r="C27" s="148">
        <v>1.9400000000000001E-2</v>
      </c>
      <c r="D27" s="149" t="str">
        <f t="shared" si="0"/>
        <v>no</v>
      </c>
      <c r="E27" s="33">
        <f t="shared" si="1"/>
        <v>0</v>
      </c>
      <c r="F27" s="260"/>
    </row>
    <row r="28" spans="1:6" x14ac:dyDescent="0.25">
      <c r="A28" s="146">
        <v>43695</v>
      </c>
      <c r="B28" s="130">
        <v>14.07</v>
      </c>
      <c r="C28" s="148">
        <v>4.5100000000000001E-2</v>
      </c>
      <c r="D28" s="149" t="str">
        <f t="shared" si="0"/>
        <v>no</v>
      </c>
      <c r="E28" s="33">
        <f t="shared" si="1"/>
        <v>0</v>
      </c>
      <c r="F28" s="260"/>
    </row>
    <row r="29" spans="1:6" x14ac:dyDescent="0.25">
      <c r="A29" s="146">
        <v>43726</v>
      </c>
      <c r="B29" s="130">
        <v>14.09</v>
      </c>
      <c r="C29" s="148">
        <v>1.4E-3</v>
      </c>
      <c r="D29" s="149" t="str">
        <f t="shared" si="0"/>
        <v>yes</v>
      </c>
      <c r="E29" s="33">
        <f t="shared" si="1"/>
        <v>3.6000000000000005E-7</v>
      </c>
      <c r="F29" s="260"/>
    </row>
    <row r="30" spans="1:6" x14ac:dyDescent="0.25">
      <c r="A30" s="146">
        <v>43756</v>
      </c>
      <c r="B30" s="130">
        <v>12.72</v>
      </c>
      <c r="C30" s="148">
        <v>-9.7199999999999995E-2</v>
      </c>
      <c r="D30" s="149" t="str">
        <f t="shared" si="0"/>
        <v>yes</v>
      </c>
      <c r="E30" s="33">
        <f t="shared" si="1"/>
        <v>9.8406399999999995E-3</v>
      </c>
      <c r="F30" s="260"/>
    </row>
    <row r="31" spans="1:6" x14ac:dyDescent="0.25">
      <c r="A31" s="146">
        <v>43787</v>
      </c>
      <c r="B31" s="130">
        <v>12.81</v>
      </c>
      <c r="C31" s="148">
        <v>7.1000000000000004E-3</v>
      </c>
      <c r="D31" s="149" t="str">
        <f t="shared" si="0"/>
        <v>no</v>
      </c>
      <c r="E31" s="33">
        <f t="shared" si="1"/>
        <v>0</v>
      </c>
      <c r="F31" s="260"/>
    </row>
    <row r="32" spans="1:6" x14ac:dyDescent="0.25">
      <c r="A32" s="146">
        <v>43817</v>
      </c>
      <c r="B32" s="130">
        <v>11.01</v>
      </c>
      <c r="C32" s="148">
        <v>-0.14050000000000001</v>
      </c>
      <c r="D32" s="149" t="str">
        <f t="shared" si="0"/>
        <v>yes</v>
      </c>
      <c r="E32" s="33">
        <f t="shared" si="1"/>
        <v>2.0306250000000005E-2</v>
      </c>
      <c r="F32" s="260"/>
    </row>
    <row r="33" spans="1:6" ht="30" x14ac:dyDescent="0.25">
      <c r="A33" s="130"/>
      <c r="B33" s="3" t="s">
        <v>125</v>
      </c>
      <c r="C33" s="33">
        <f t="array" ref="C33">PRODUCT(C3:C32+1)^(1/30)-1</f>
        <v>4.2234782346046718E-3</v>
      </c>
      <c r="D33" s="3" t="s">
        <v>105</v>
      </c>
      <c r="E33" s="33">
        <f>SUM(E3:E32)/18</f>
        <v>2.0130372222222225E-3</v>
      </c>
      <c r="F33" s="260"/>
    </row>
    <row r="34" spans="1:6" ht="30" x14ac:dyDescent="0.25">
      <c r="A34" s="130"/>
      <c r="B34" s="3" t="s">
        <v>126</v>
      </c>
      <c r="C34" s="31">
        <f>(C33-0.002)/E34</f>
        <v>4.9557225022390274E-2</v>
      </c>
      <c r="D34" s="3" t="s">
        <v>106</v>
      </c>
      <c r="E34" s="33">
        <f>E33^0.5</f>
        <v>4.4866883357574799E-2</v>
      </c>
      <c r="F34" s="260"/>
    </row>
    <row r="35" spans="1:6" x14ac:dyDescent="0.25">
      <c r="C35" s="3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0FDE-EF30-4557-9EBC-5967A807DD17}">
  <dimension ref="A1:G35"/>
  <sheetViews>
    <sheetView tabSelected="1" topLeftCell="A17" workbookViewId="0">
      <selection activeCell="B35" sqref="B35"/>
    </sheetView>
  </sheetViews>
  <sheetFormatPr defaultColWidth="8.7109375" defaultRowHeight="15" x14ac:dyDescent="0.25"/>
  <cols>
    <col min="1" max="1" width="10.140625" style="246" customWidth="1"/>
    <col min="2" max="2" width="8.28515625" style="246" customWidth="1"/>
    <col min="3" max="3" width="8.7109375" style="246"/>
    <col min="4" max="4" width="12.42578125" style="246" customWidth="1"/>
    <col min="5" max="5" width="8.7109375" style="246" customWidth="1"/>
    <col min="6" max="16384" width="8.7109375" style="246"/>
  </cols>
  <sheetData>
    <row r="1" spans="1:7" ht="15.75" thickBot="1" x14ac:dyDescent="0.3">
      <c r="A1" s="211"/>
      <c r="B1" s="294" t="s">
        <v>151</v>
      </c>
      <c r="C1" s="295"/>
      <c r="D1" s="295"/>
      <c r="E1" s="296"/>
    </row>
    <row r="2" spans="1:7" ht="15.75" thickBot="1" x14ac:dyDescent="0.3">
      <c r="A2" s="212"/>
      <c r="B2" s="236" t="s">
        <v>152</v>
      </c>
      <c r="C2" s="236" t="s">
        <v>153</v>
      </c>
      <c r="D2" s="236" t="s">
        <v>154</v>
      </c>
      <c r="E2" s="236" t="s">
        <v>155</v>
      </c>
    </row>
    <row r="3" spans="1:7" ht="15.75" thickBot="1" x14ac:dyDescent="0.3">
      <c r="A3" s="213" t="s">
        <v>152</v>
      </c>
      <c r="B3" s="247">
        <v>1</v>
      </c>
      <c r="C3" s="247">
        <v>0.3</v>
      </c>
      <c r="D3" s="247">
        <v>0.35</v>
      </c>
      <c r="E3" s="247">
        <v>0.25</v>
      </c>
    </row>
    <row r="4" spans="1:7" ht="15.75" thickBot="1" x14ac:dyDescent="0.3">
      <c r="A4" s="214" t="s">
        <v>153</v>
      </c>
      <c r="B4" s="248">
        <f>C3</f>
        <v>0.3</v>
      </c>
      <c r="C4" s="247">
        <v>1</v>
      </c>
      <c r="D4" s="247">
        <v>0.38</v>
      </c>
      <c r="E4" s="247">
        <v>0.1</v>
      </c>
    </row>
    <row r="5" spans="1:7" ht="15.75" thickBot="1" x14ac:dyDescent="0.3">
      <c r="A5" s="214" t="s">
        <v>154</v>
      </c>
      <c r="B5" s="248">
        <f>D3</f>
        <v>0.35</v>
      </c>
      <c r="C5" s="248">
        <f>D4</f>
        <v>0.38</v>
      </c>
      <c r="D5" s="247">
        <v>1</v>
      </c>
      <c r="E5" s="247">
        <v>0.15</v>
      </c>
    </row>
    <row r="6" spans="1:7" ht="15.75" thickBot="1" x14ac:dyDescent="0.3">
      <c r="A6" s="215" t="s">
        <v>155</v>
      </c>
      <c r="B6" s="249">
        <f>E3</f>
        <v>0.25</v>
      </c>
      <c r="C6" s="249">
        <f>E4</f>
        <v>0.1</v>
      </c>
      <c r="D6" s="249">
        <f>E5</f>
        <v>0.15</v>
      </c>
      <c r="E6" s="250">
        <v>1</v>
      </c>
    </row>
    <row r="7" spans="1:7" ht="15.75" thickBot="1" x14ac:dyDescent="0.3"/>
    <row r="8" spans="1:7" ht="15.75" thickBot="1" x14ac:dyDescent="0.3">
      <c r="A8" s="251"/>
      <c r="B8" s="237" t="s">
        <v>152</v>
      </c>
      <c r="C8" s="238" t="s">
        <v>153</v>
      </c>
      <c r="D8" s="237" t="s">
        <v>154</v>
      </c>
      <c r="E8" s="237" t="s">
        <v>155</v>
      </c>
      <c r="F8" s="251"/>
      <c r="G8" s="251"/>
    </row>
    <row r="9" spans="1:7" ht="15.75" thickBot="1" x14ac:dyDescent="0.3">
      <c r="A9" s="255" t="s">
        <v>162</v>
      </c>
      <c r="B9" s="252">
        <v>7.0000000000000007E-2</v>
      </c>
      <c r="C9" s="252">
        <v>0.08</v>
      </c>
      <c r="D9" s="252">
        <v>0.09</v>
      </c>
      <c r="E9" s="252">
        <v>0.1</v>
      </c>
      <c r="F9" s="251"/>
      <c r="G9" s="251"/>
    </row>
    <row r="10" spans="1:7" ht="15.75" thickBot="1" x14ac:dyDescent="0.3">
      <c r="A10" s="256" t="s">
        <v>156</v>
      </c>
      <c r="B10" s="250">
        <v>0.15</v>
      </c>
      <c r="C10" s="250">
        <v>0.2</v>
      </c>
      <c r="D10" s="250">
        <v>0.25</v>
      </c>
      <c r="E10" s="250">
        <v>0.3</v>
      </c>
      <c r="F10" s="251"/>
      <c r="G10" s="251"/>
    </row>
    <row r="11" spans="1:7" ht="15.75" thickBot="1" x14ac:dyDescent="0.3">
      <c r="A11" s="251"/>
      <c r="B11" s="251"/>
      <c r="C11" s="251"/>
      <c r="D11" s="251"/>
      <c r="E11" s="251"/>
      <c r="F11" s="251"/>
      <c r="G11" s="251"/>
    </row>
    <row r="12" spans="1:7" ht="15.75" thickBot="1" x14ac:dyDescent="0.3">
      <c r="A12" s="211"/>
      <c r="B12" s="297" t="s">
        <v>157</v>
      </c>
      <c r="C12" s="298"/>
      <c r="D12" s="298"/>
      <c r="E12" s="299"/>
    </row>
    <row r="13" spans="1:7" ht="15.75" thickBot="1" x14ac:dyDescent="0.3">
      <c r="A13" s="216"/>
      <c r="B13" s="236" t="s">
        <v>152</v>
      </c>
      <c r="C13" s="239" t="s">
        <v>153</v>
      </c>
      <c r="D13" s="236" t="s">
        <v>154</v>
      </c>
      <c r="E13" s="236" t="s">
        <v>155</v>
      </c>
    </row>
    <row r="14" spans="1:7" ht="15.75" thickBot="1" x14ac:dyDescent="0.3">
      <c r="A14" s="240" t="s">
        <v>152</v>
      </c>
      <c r="B14" s="217">
        <f>B10^2</f>
        <v>2.2499999999999999E-2</v>
      </c>
      <c r="C14" s="218">
        <f>B15</f>
        <v>8.9999999999999993E-3</v>
      </c>
      <c r="D14" s="217">
        <f>B16</f>
        <v>1.3125E-2</v>
      </c>
      <c r="E14" s="217">
        <f>B17</f>
        <v>1.125E-2</v>
      </c>
    </row>
    <row r="15" spans="1:7" ht="15.75" thickBot="1" x14ac:dyDescent="0.3">
      <c r="A15" s="241" t="s">
        <v>153</v>
      </c>
      <c r="B15" s="217">
        <f>B10*C10*C3</f>
        <v>8.9999999999999993E-3</v>
      </c>
      <c r="C15" s="218">
        <f>C10^2</f>
        <v>4.0000000000000008E-2</v>
      </c>
      <c r="D15" s="217">
        <f>C16</f>
        <v>1.9000000000000003E-2</v>
      </c>
      <c r="E15" s="217">
        <f>C17</f>
        <v>6.0000000000000001E-3</v>
      </c>
    </row>
    <row r="16" spans="1:7" ht="15.75" thickBot="1" x14ac:dyDescent="0.3">
      <c r="A16" s="241" t="s">
        <v>154</v>
      </c>
      <c r="B16" s="217">
        <f>B10*D10*D3</f>
        <v>1.3125E-2</v>
      </c>
      <c r="C16" s="218">
        <f>C10*D10*D4</f>
        <v>1.9000000000000003E-2</v>
      </c>
      <c r="D16" s="217">
        <f>D10^2</f>
        <v>6.25E-2</v>
      </c>
      <c r="E16" s="217">
        <f>D17</f>
        <v>1.125E-2</v>
      </c>
    </row>
    <row r="17" spans="1:6" ht="15.75" thickBot="1" x14ac:dyDescent="0.3">
      <c r="A17" s="242" t="s">
        <v>155</v>
      </c>
      <c r="B17" s="219">
        <f>B10*E10*E3</f>
        <v>1.125E-2</v>
      </c>
      <c r="C17" s="220">
        <f>C10*E10*E4</f>
        <v>6.0000000000000001E-3</v>
      </c>
      <c r="D17" s="219">
        <f>D10*E10*E5</f>
        <v>1.125E-2</v>
      </c>
      <c r="E17" s="219">
        <f>E10^2</f>
        <v>0.09</v>
      </c>
    </row>
    <row r="18" spans="1:6" ht="15.75" thickBot="1" x14ac:dyDescent="0.3">
      <c r="A18" s="221"/>
      <c r="B18" s="221"/>
      <c r="C18" s="222"/>
      <c r="D18" s="223"/>
      <c r="E18" s="223"/>
    </row>
    <row r="19" spans="1:6" ht="15.75" thickBot="1" x14ac:dyDescent="0.3">
      <c r="A19" s="224"/>
      <c r="B19" s="225"/>
      <c r="C19" s="300" t="s">
        <v>158</v>
      </c>
      <c r="D19" s="301"/>
      <c r="E19" s="301"/>
      <c r="F19" s="304"/>
    </row>
    <row r="20" spans="1:6" ht="15.75" thickBot="1" x14ac:dyDescent="0.3">
      <c r="A20" s="251"/>
      <c r="B20" s="251"/>
      <c r="C20" s="236" t="s">
        <v>152</v>
      </c>
      <c r="D20" s="239" t="s">
        <v>153</v>
      </c>
      <c r="E20" s="236" t="s">
        <v>154</v>
      </c>
      <c r="F20" s="236" t="s">
        <v>155</v>
      </c>
    </row>
    <row r="21" spans="1:6" ht="15.75" thickBot="1" x14ac:dyDescent="0.3">
      <c r="A21" s="305" t="s">
        <v>163</v>
      </c>
      <c r="B21" s="306"/>
      <c r="C21" s="226">
        <f t="array" ref="C21:F21">TRANSPOSE(B25:B28)</f>
        <v>0.58613095024023798</v>
      </c>
      <c r="D21" s="227">
        <v>0.26024407578919995</v>
      </c>
      <c r="E21" s="227">
        <v>5.8583040284911091E-2</v>
      </c>
      <c r="F21" s="227">
        <v>9.5041933685650934E-2</v>
      </c>
    </row>
    <row r="22" spans="1:6" ht="15.75" thickBot="1" x14ac:dyDescent="0.3">
      <c r="A22" s="305" t="s">
        <v>164</v>
      </c>
      <c r="B22" s="306"/>
      <c r="C22" s="253">
        <f t="array" ref="C22:F22">TRANSPOSE(E25:E28)</f>
        <v>0.44440710365980868</v>
      </c>
      <c r="D22" s="253">
        <v>0.27128526631394589</v>
      </c>
      <c r="E22" s="253">
        <v>0.12125081814212679</v>
      </c>
      <c r="F22" s="253">
        <v>0.1630568118841185</v>
      </c>
    </row>
    <row r="23" spans="1:6" ht="15.75" thickBot="1" x14ac:dyDescent="0.3">
      <c r="A23" s="228"/>
      <c r="B23" s="228"/>
      <c r="C23" s="229"/>
      <c r="D23" s="228"/>
      <c r="E23" s="228"/>
      <c r="F23" s="224"/>
    </row>
    <row r="24" spans="1:6" ht="15.75" thickBot="1" x14ac:dyDescent="0.3">
      <c r="A24" s="300" t="s">
        <v>159</v>
      </c>
      <c r="B24" s="301"/>
      <c r="D24" s="300" t="s">
        <v>160</v>
      </c>
      <c r="E24" s="301"/>
    </row>
    <row r="25" spans="1:6" ht="15.75" thickBot="1" x14ac:dyDescent="0.3">
      <c r="A25" s="257" t="s">
        <v>152</v>
      </c>
      <c r="B25" s="230">
        <v>0.58613095024023798</v>
      </c>
      <c r="D25" s="257" t="s">
        <v>152</v>
      </c>
      <c r="E25" s="231">
        <v>0.44440710365980868</v>
      </c>
    </row>
    <row r="26" spans="1:6" ht="15.75" thickBot="1" x14ac:dyDescent="0.3">
      <c r="A26" s="258" t="s">
        <v>153</v>
      </c>
      <c r="B26" s="232">
        <v>0.26024407578919995</v>
      </c>
      <c r="D26" s="258" t="s">
        <v>153</v>
      </c>
      <c r="E26" s="233">
        <v>0.27128526631394589</v>
      </c>
    </row>
    <row r="27" spans="1:6" ht="15.75" thickBot="1" x14ac:dyDescent="0.3">
      <c r="A27" s="258" t="s">
        <v>154</v>
      </c>
      <c r="B27" s="232">
        <v>5.8583040284911091E-2</v>
      </c>
      <c r="D27" s="258" t="s">
        <v>154</v>
      </c>
      <c r="E27" s="232">
        <v>0.12125081814212679</v>
      </c>
    </row>
    <row r="28" spans="1:6" ht="15.75" thickBot="1" x14ac:dyDescent="0.3">
      <c r="A28" s="258" t="s">
        <v>155</v>
      </c>
      <c r="B28" s="232">
        <v>9.5041933685650934E-2</v>
      </c>
      <c r="D28" s="258" t="s">
        <v>155</v>
      </c>
      <c r="E28" s="232">
        <v>0.1630568118841185</v>
      </c>
    </row>
    <row r="29" spans="1:6" ht="15.75" thickBot="1" x14ac:dyDescent="0.3">
      <c r="A29" s="259" t="s">
        <v>143</v>
      </c>
      <c r="B29" s="234">
        <f>SUM(B25:B28)</f>
        <v>1</v>
      </c>
      <c r="D29" s="259" t="s">
        <v>143</v>
      </c>
      <c r="E29" s="234">
        <f>SUM(E25:E28)</f>
        <v>0.99999999999999978</v>
      </c>
    </row>
    <row r="30" spans="1:6" ht="15.75" thickBot="1" x14ac:dyDescent="0.3">
      <c r="A30" s="235"/>
      <c r="B30" s="235"/>
      <c r="D30" s="235"/>
      <c r="E30" s="235"/>
    </row>
    <row r="31" spans="1:6" ht="15.75" thickBot="1" x14ac:dyDescent="0.3">
      <c r="A31" s="302" t="s">
        <v>161</v>
      </c>
      <c r="B31" s="303"/>
      <c r="D31" s="302" t="s">
        <v>161</v>
      </c>
      <c r="E31" s="303"/>
    </row>
    <row r="32" spans="1:6" ht="15.75" thickBot="1" x14ac:dyDescent="0.3">
      <c r="A32" s="243" t="s">
        <v>145</v>
      </c>
      <c r="B32" s="230">
        <f>MMULT(B9:E9,B25:B28)</f>
        <v>7.6625359574159752E-2</v>
      </c>
      <c r="D32" s="243" t="s">
        <v>145</v>
      </c>
      <c r="E32" s="232">
        <f>MMULT(B9:E9,E25:E28)</f>
        <v>8.0029573382505548E-2</v>
      </c>
    </row>
    <row r="33" spans="1:5" ht="15.75" thickBot="1" x14ac:dyDescent="0.3">
      <c r="A33" s="244" t="s">
        <v>146</v>
      </c>
      <c r="B33" s="232">
        <f>MMULT(MMULT(C21:F21,B14:E17),B25:B28)</f>
        <v>1.7368268580809657E-2</v>
      </c>
      <c r="D33" s="244" t="s">
        <v>146</v>
      </c>
      <c r="E33" s="232">
        <f>MMULT(MMULT(C22:F22,B14:E17),E25:E28)</f>
        <v>1.8139884232099411E-2</v>
      </c>
    </row>
    <row r="34" spans="1:5" ht="15.75" thickBot="1" x14ac:dyDescent="0.3">
      <c r="A34" s="244" t="s">
        <v>147</v>
      </c>
      <c r="B34" s="232">
        <f>SQRT(B33)</f>
        <v>0.13178872706271069</v>
      </c>
      <c r="D34" s="244" t="s">
        <v>147</v>
      </c>
      <c r="E34" s="232">
        <f>SQRT(E33)</f>
        <v>0.13468438748459086</v>
      </c>
    </row>
    <row r="35" spans="1:5" ht="15.75" thickBot="1" x14ac:dyDescent="0.3">
      <c r="A35" s="245" t="s">
        <v>148</v>
      </c>
      <c r="B35" s="254">
        <f>B32/B34</f>
        <v>0.58142575076014003</v>
      </c>
      <c r="D35" s="245" t="s">
        <v>148</v>
      </c>
      <c r="E35" s="254">
        <f>E32/E34</f>
        <v>0.59420081924240609</v>
      </c>
    </row>
  </sheetData>
  <mergeCells count="9">
    <mergeCell ref="B1:E1"/>
    <mergeCell ref="B12:E12"/>
    <mergeCell ref="A24:B24"/>
    <mergeCell ref="A31:B31"/>
    <mergeCell ref="D31:E31"/>
    <mergeCell ref="C19:F19"/>
    <mergeCell ref="A21:B21"/>
    <mergeCell ref="D24:E24"/>
    <mergeCell ref="A22:B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7188-0270-4963-B727-59CDED14467F}">
  <dimension ref="A1:W3303"/>
  <sheetViews>
    <sheetView topLeftCell="J1" zoomScale="72" zoomScaleNormal="70" workbookViewId="0">
      <selection activeCell="R8" sqref="R8"/>
    </sheetView>
  </sheetViews>
  <sheetFormatPr defaultColWidth="0" defaultRowHeight="15" zeroHeight="1" x14ac:dyDescent="0.25"/>
  <cols>
    <col min="1" max="1" width="11" style="75" bestFit="1" customWidth="1"/>
    <col min="2" max="8" width="10.42578125" style="165" customWidth="1"/>
    <col min="9" max="9" width="11.85546875" style="45" customWidth="1"/>
    <col min="10" max="10" width="14" style="45" customWidth="1"/>
    <col min="11" max="11" width="15.42578125" style="45" bestFit="1" customWidth="1"/>
    <col min="12" max="12" width="9.85546875" style="45" customWidth="1"/>
    <col min="13" max="13" width="15.5703125" style="45" bestFit="1" customWidth="1"/>
    <col min="14" max="14" width="11.42578125" style="45" customWidth="1"/>
    <col min="15" max="15" width="12.5703125" style="45" customWidth="1"/>
    <col min="16" max="16" width="13.5703125" style="45" customWidth="1"/>
    <col min="17" max="17" width="15.140625" style="45" customWidth="1"/>
    <col min="18" max="18" width="11.85546875" style="45" customWidth="1"/>
    <col min="19" max="19" width="11.5703125" style="45" customWidth="1"/>
    <col min="20" max="27" width="8.85546875" style="45" customWidth="1"/>
    <col min="28" max="256" width="0" style="45" hidden="1"/>
    <col min="257" max="257" width="11" style="45" bestFit="1" customWidth="1"/>
    <col min="258" max="264" width="10.42578125" style="45" customWidth="1"/>
    <col min="265" max="265" width="11.85546875" style="45" customWidth="1"/>
    <col min="266" max="266" width="14" style="45" customWidth="1"/>
    <col min="267" max="267" width="13.5703125" style="45" bestFit="1" customWidth="1"/>
    <col min="268" max="268" width="9.85546875" style="45" customWidth="1"/>
    <col min="269" max="269" width="12.42578125" style="45" bestFit="1" customWidth="1"/>
    <col min="270" max="270" width="11.42578125" style="45" customWidth="1"/>
    <col min="271" max="271" width="12.5703125" style="45" customWidth="1"/>
    <col min="272" max="272" width="12.42578125" style="45" customWidth="1"/>
    <col min="273" max="273" width="8.85546875" style="45" customWidth="1"/>
    <col min="274" max="274" width="12.5703125" style="45" customWidth="1"/>
    <col min="275" max="275" width="11.5703125" style="45" customWidth="1"/>
    <col min="276" max="283" width="8.85546875" style="45" customWidth="1"/>
    <col min="284" max="512" width="0" style="45" hidden="1"/>
    <col min="513" max="513" width="11" style="45" bestFit="1" customWidth="1"/>
    <col min="514" max="520" width="10.42578125" style="45" customWidth="1"/>
    <col min="521" max="521" width="11.85546875" style="45" customWidth="1"/>
    <col min="522" max="522" width="14" style="45" customWidth="1"/>
    <col min="523" max="523" width="13.5703125" style="45" bestFit="1" customWidth="1"/>
    <col min="524" max="524" width="9.85546875" style="45" customWidth="1"/>
    <col min="525" max="525" width="12.42578125" style="45" bestFit="1" customWidth="1"/>
    <col min="526" max="526" width="11.42578125" style="45" customWidth="1"/>
    <col min="527" max="527" width="12.5703125" style="45" customWidth="1"/>
    <col min="528" max="528" width="12.42578125" style="45" customWidth="1"/>
    <col min="529" max="529" width="8.85546875" style="45" customWidth="1"/>
    <col min="530" max="530" width="12.5703125" style="45" customWidth="1"/>
    <col min="531" max="531" width="11.5703125" style="45" customWidth="1"/>
    <col min="532" max="539" width="8.85546875" style="45" customWidth="1"/>
    <col min="540" max="768" width="0" style="45" hidden="1"/>
    <col min="769" max="769" width="11" style="45" bestFit="1" customWidth="1"/>
    <col min="770" max="776" width="10.42578125" style="45" customWidth="1"/>
    <col min="777" max="777" width="11.85546875" style="45" customWidth="1"/>
    <col min="778" max="778" width="14" style="45" customWidth="1"/>
    <col min="779" max="779" width="13.5703125" style="45" bestFit="1" customWidth="1"/>
    <col min="780" max="780" width="9.85546875" style="45" customWidth="1"/>
    <col min="781" max="781" width="12.42578125" style="45" bestFit="1" customWidth="1"/>
    <col min="782" max="782" width="11.42578125" style="45" customWidth="1"/>
    <col min="783" max="783" width="12.5703125" style="45" customWidth="1"/>
    <col min="784" max="784" width="12.42578125" style="45" customWidth="1"/>
    <col min="785" max="785" width="8.85546875" style="45" customWidth="1"/>
    <col min="786" max="786" width="12.5703125" style="45" customWidth="1"/>
    <col min="787" max="787" width="11.5703125" style="45" customWidth="1"/>
    <col min="788" max="795" width="8.85546875" style="45" customWidth="1"/>
    <col min="796" max="1024" width="0" style="45" hidden="1"/>
    <col min="1025" max="1025" width="11" style="45" bestFit="1" customWidth="1"/>
    <col min="1026" max="1032" width="10.42578125" style="45" customWidth="1"/>
    <col min="1033" max="1033" width="11.85546875" style="45" customWidth="1"/>
    <col min="1034" max="1034" width="14" style="45" customWidth="1"/>
    <col min="1035" max="1035" width="13.5703125" style="45" bestFit="1" customWidth="1"/>
    <col min="1036" max="1036" width="9.85546875" style="45" customWidth="1"/>
    <col min="1037" max="1037" width="12.42578125" style="45" bestFit="1" customWidth="1"/>
    <col min="1038" max="1038" width="11.42578125" style="45" customWidth="1"/>
    <col min="1039" max="1039" width="12.5703125" style="45" customWidth="1"/>
    <col min="1040" max="1040" width="12.42578125" style="45" customWidth="1"/>
    <col min="1041" max="1041" width="8.85546875" style="45" customWidth="1"/>
    <col min="1042" max="1042" width="12.5703125" style="45" customWidth="1"/>
    <col min="1043" max="1043" width="11.5703125" style="45" customWidth="1"/>
    <col min="1044" max="1051" width="8.85546875" style="45" customWidth="1"/>
    <col min="1052" max="1280" width="0" style="45" hidden="1"/>
    <col min="1281" max="1281" width="11" style="45" bestFit="1" customWidth="1"/>
    <col min="1282" max="1288" width="10.42578125" style="45" customWidth="1"/>
    <col min="1289" max="1289" width="11.85546875" style="45" customWidth="1"/>
    <col min="1290" max="1290" width="14" style="45" customWidth="1"/>
    <col min="1291" max="1291" width="13.5703125" style="45" bestFit="1" customWidth="1"/>
    <col min="1292" max="1292" width="9.85546875" style="45" customWidth="1"/>
    <col min="1293" max="1293" width="12.42578125" style="45" bestFit="1" customWidth="1"/>
    <col min="1294" max="1294" width="11.42578125" style="45" customWidth="1"/>
    <col min="1295" max="1295" width="12.5703125" style="45" customWidth="1"/>
    <col min="1296" max="1296" width="12.42578125" style="45" customWidth="1"/>
    <col min="1297" max="1297" width="8.85546875" style="45" customWidth="1"/>
    <col min="1298" max="1298" width="12.5703125" style="45" customWidth="1"/>
    <col min="1299" max="1299" width="11.5703125" style="45" customWidth="1"/>
    <col min="1300" max="1307" width="8.85546875" style="45" customWidth="1"/>
    <col min="1308" max="1536" width="0" style="45" hidden="1"/>
    <col min="1537" max="1537" width="11" style="45" bestFit="1" customWidth="1"/>
    <col min="1538" max="1544" width="10.42578125" style="45" customWidth="1"/>
    <col min="1545" max="1545" width="11.85546875" style="45" customWidth="1"/>
    <col min="1546" max="1546" width="14" style="45" customWidth="1"/>
    <col min="1547" max="1547" width="13.5703125" style="45" bestFit="1" customWidth="1"/>
    <col min="1548" max="1548" width="9.85546875" style="45" customWidth="1"/>
    <col min="1549" max="1549" width="12.42578125" style="45" bestFit="1" customWidth="1"/>
    <col min="1550" max="1550" width="11.42578125" style="45" customWidth="1"/>
    <col min="1551" max="1551" width="12.5703125" style="45" customWidth="1"/>
    <col min="1552" max="1552" width="12.42578125" style="45" customWidth="1"/>
    <col min="1553" max="1553" width="8.85546875" style="45" customWidth="1"/>
    <col min="1554" max="1554" width="12.5703125" style="45" customWidth="1"/>
    <col min="1555" max="1555" width="11.5703125" style="45" customWidth="1"/>
    <col min="1556" max="1563" width="8.85546875" style="45" customWidth="1"/>
    <col min="1564" max="1792" width="0" style="45" hidden="1"/>
    <col min="1793" max="1793" width="11" style="45" bestFit="1" customWidth="1"/>
    <col min="1794" max="1800" width="10.42578125" style="45" customWidth="1"/>
    <col min="1801" max="1801" width="11.85546875" style="45" customWidth="1"/>
    <col min="1802" max="1802" width="14" style="45" customWidth="1"/>
    <col min="1803" max="1803" width="13.5703125" style="45" bestFit="1" customWidth="1"/>
    <col min="1804" max="1804" width="9.85546875" style="45" customWidth="1"/>
    <col min="1805" max="1805" width="12.42578125" style="45" bestFit="1" customWidth="1"/>
    <col min="1806" max="1806" width="11.42578125" style="45" customWidth="1"/>
    <col min="1807" max="1807" width="12.5703125" style="45" customWidth="1"/>
    <col min="1808" max="1808" width="12.42578125" style="45" customWidth="1"/>
    <col min="1809" max="1809" width="8.85546875" style="45" customWidth="1"/>
    <col min="1810" max="1810" width="12.5703125" style="45" customWidth="1"/>
    <col min="1811" max="1811" width="11.5703125" style="45" customWidth="1"/>
    <col min="1812" max="1819" width="8.85546875" style="45" customWidth="1"/>
    <col min="1820" max="2048" width="0" style="45" hidden="1"/>
    <col min="2049" max="2049" width="11" style="45" bestFit="1" customWidth="1"/>
    <col min="2050" max="2056" width="10.42578125" style="45" customWidth="1"/>
    <col min="2057" max="2057" width="11.85546875" style="45" customWidth="1"/>
    <col min="2058" max="2058" width="14" style="45" customWidth="1"/>
    <col min="2059" max="2059" width="13.5703125" style="45" bestFit="1" customWidth="1"/>
    <col min="2060" max="2060" width="9.85546875" style="45" customWidth="1"/>
    <col min="2061" max="2061" width="12.42578125" style="45" bestFit="1" customWidth="1"/>
    <col min="2062" max="2062" width="11.42578125" style="45" customWidth="1"/>
    <col min="2063" max="2063" width="12.5703125" style="45" customWidth="1"/>
    <col min="2064" max="2064" width="12.42578125" style="45" customWidth="1"/>
    <col min="2065" max="2065" width="8.85546875" style="45" customWidth="1"/>
    <col min="2066" max="2066" width="12.5703125" style="45" customWidth="1"/>
    <col min="2067" max="2067" width="11.5703125" style="45" customWidth="1"/>
    <col min="2068" max="2075" width="8.85546875" style="45" customWidth="1"/>
    <col min="2076" max="2304" width="0" style="45" hidden="1"/>
    <col min="2305" max="2305" width="11" style="45" bestFit="1" customWidth="1"/>
    <col min="2306" max="2312" width="10.42578125" style="45" customWidth="1"/>
    <col min="2313" max="2313" width="11.85546875" style="45" customWidth="1"/>
    <col min="2314" max="2314" width="14" style="45" customWidth="1"/>
    <col min="2315" max="2315" width="13.5703125" style="45" bestFit="1" customWidth="1"/>
    <col min="2316" max="2316" width="9.85546875" style="45" customWidth="1"/>
    <col min="2317" max="2317" width="12.42578125" style="45" bestFit="1" customWidth="1"/>
    <col min="2318" max="2318" width="11.42578125" style="45" customWidth="1"/>
    <col min="2319" max="2319" width="12.5703125" style="45" customWidth="1"/>
    <col min="2320" max="2320" width="12.42578125" style="45" customWidth="1"/>
    <col min="2321" max="2321" width="8.85546875" style="45" customWidth="1"/>
    <col min="2322" max="2322" width="12.5703125" style="45" customWidth="1"/>
    <col min="2323" max="2323" width="11.5703125" style="45" customWidth="1"/>
    <col min="2324" max="2331" width="8.85546875" style="45" customWidth="1"/>
    <col min="2332" max="2560" width="0" style="45" hidden="1"/>
    <col min="2561" max="2561" width="11" style="45" bestFit="1" customWidth="1"/>
    <col min="2562" max="2568" width="10.42578125" style="45" customWidth="1"/>
    <col min="2569" max="2569" width="11.85546875" style="45" customWidth="1"/>
    <col min="2570" max="2570" width="14" style="45" customWidth="1"/>
    <col min="2571" max="2571" width="13.5703125" style="45" bestFit="1" customWidth="1"/>
    <col min="2572" max="2572" width="9.85546875" style="45" customWidth="1"/>
    <col min="2573" max="2573" width="12.42578125" style="45" bestFit="1" customWidth="1"/>
    <col min="2574" max="2574" width="11.42578125" style="45" customWidth="1"/>
    <col min="2575" max="2575" width="12.5703125" style="45" customWidth="1"/>
    <col min="2576" max="2576" width="12.42578125" style="45" customWidth="1"/>
    <col min="2577" max="2577" width="8.85546875" style="45" customWidth="1"/>
    <col min="2578" max="2578" width="12.5703125" style="45" customWidth="1"/>
    <col min="2579" max="2579" width="11.5703125" style="45" customWidth="1"/>
    <col min="2580" max="2587" width="8.85546875" style="45" customWidth="1"/>
    <col min="2588" max="2816" width="0" style="45" hidden="1"/>
    <col min="2817" max="2817" width="11" style="45" bestFit="1" customWidth="1"/>
    <col min="2818" max="2824" width="10.42578125" style="45" customWidth="1"/>
    <col min="2825" max="2825" width="11.85546875" style="45" customWidth="1"/>
    <col min="2826" max="2826" width="14" style="45" customWidth="1"/>
    <col min="2827" max="2827" width="13.5703125" style="45" bestFit="1" customWidth="1"/>
    <col min="2828" max="2828" width="9.85546875" style="45" customWidth="1"/>
    <col min="2829" max="2829" width="12.42578125" style="45" bestFit="1" customWidth="1"/>
    <col min="2830" max="2830" width="11.42578125" style="45" customWidth="1"/>
    <col min="2831" max="2831" width="12.5703125" style="45" customWidth="1"/>
    <col min="2832" max="2832" width="12.42578125" style="45" customWidth="1"/>
    <col min="2833" max="2833" width="8.85546875" style="45" customWidth="1"/>
    <col min="2834" max="2834" width="12.5703125" style="45" customWidth="1"/>
    <col min="2835" max="2835" width="11.5703125" style="45" customWidth="1"/>
    <col min="2836" max="2843" width="8.85546875" style="45" customWidth="1"/>
    <col min="2844" max="3072" width="0" style="45" hidden="1"/>
    <col min="3073" max="3073" width="11" style="45" bestFit="1" customWidth="1"/>
    <col min="3074" max="3080" width="10.42578125" style="45" customWidth="1"/>
    <col min="3081" max="3081" width="11.85546875" style="45" customWidth="1"/>
    <col min="3082" max="3082" width="14" style="45" customWidth="1"/>
    <col min="3083" max="3083" width="13.5703125" style="45" bestFit="1" customWidth="1"/>
    <col min="3084" max="3084" width="9.85546875" style="45" customWidth="1"/>
    <col min="3085" max="3085" width="12.42578125" style="45" bestFit="1" customWidth="1"/>
    <col min="3086" max="3086" width="11.42578125" style="45" customWidth="1"/>
    <col min="3087" max="3087" width="12.5703125" style="45" customWidth="1"/>
    <col min="3088" max="3088" width="12.42578125" style="45" customWidth="1"/>
    <col min="3089" max="3089" width="8.85546875" style="45" customWidth="1"/>
    <col min="3090" max="3090" width="12.5703125" style="45" customWidth="1"/>
    <col min="3091" max="3091" width="11.5703125" style="45" customWidth="1"/>
    <col min="3092" max="3099" width="8.85546875" style="45" customWidth="1"/>
    <col min="3100" max="3328" width="0" style="45" hidden="1"/>
    <col min="3329" max="3329" width="11" style="45" bestFit="1" customWidth="1"/>
    <col min="3330" max="3336" width="10.42578125" style="45" customWidth="1"/>
    <col min="3337" max="3337" width="11.85546875" style="45" customWidth="1"/>
    <col min="3338" max="3338" width="14" style="45" customWidth="1"/>
    <col min="3339" max="3339" width="13.5703125" style="45" bestFit="1" customWidth="1"/>
    <col min="3340" max="3340" width="9.85546875" style="45" customWidth="1"/>
    <col min="3341" max="3341" width="12.42578125" style="45" bestFit="1" customWidth="1"/>
    <col min="3342" max="3342" width="11.42578125" style="45" customWidth="1"/>
    <col min="3343" max="3343" width="12.5703125" style="45" customWidth="1"/>
    <col min="3344" max="3344" width="12.42578125" style="45" customWidth="1"/>
    <col min="3345" max="3345" width="8.85546875" style="45" customWidth="1"/>
    <col min="3346" max="3346" width="12.5703125" style="45" customWidth="1"/>
    <col min="3347" max="3347" width="11.5703125" style="45" customWidth="1"/>
    <col min="3348" max="3355" width="8.85546875" style="45" customWidth="1"/>
    <col min="3356" max="3584" width="0" style="45" hidden="1"/>
    <col min="3585" max="3585" width="11" style="45" bestFit="1" customWidth="1"/>
    <col min="3586" max="3592" width="10.42578125" style="45" customWidth="1"/>
    <col min="3593" max="3593" width="11.85546875" style="45" customWidth="1"/>
    <col min="3594" max="3594" width="14" style="45" customWidth="1"/>
    <col min="3595" max="3595" width="13.5703125" style="45" bestFit="1" customWidth="1"/>
    <col min="3596" max="3596" width="9.85546875" style="45" customWidth="1"/>
    <col min="3597" max="3597" width="12.42578125" style="45" bestFit="1" customWidth="1"/>
    <col min="3598" max="3598" width="11.42578125" style="45" customWidth="1"/>
    <col min="3599" max="3599" width="12.5703125" style="45" customWidth="1"/>
    <col min="3600" max="3600" width="12.42578125" style="45" customWidth="1"/>
    <col min="3601" max="3601" width="8.85546875" style="45" customWidth="1"/>
    <col min="3602" max="3602" width="12.5703125" style="45" customWidth="1"/>
    <col min="3603" max="3603" width="11.5703125" style="45" customWidth="1"/>
    <col min="3604" max="3611" width="8.85546875" style="45" customWidth="1"/>
    <col min="3612" max="3840" width="0" style="45" hidden="1"/>
    <col min="3841" max="3841" width="11" style="45" bestFit="1" customWidth="1"/>
    <col min="3842" max="3848" width="10.42578125" style="45" customWidth="1"/>
    <col min="3849" max="3849" width="11.85546875" style="45" customWidth="1"/>
    <col min="3850" max="3850" width="14" style="45" customWidth="1"/>
    <col min="3851" max="3851" width="13.5703125" style="45" bestFit="1" customWidth="1"/>
    <col min="3852" max="3852" width="9.85546875" style="45" customWidth="1"/>
    <col min="3853" max="3853" width="12.42578125" style="45" bestFit="1" customWidth="1"/>
    <col min="3854" max="3854" width="11.42578125" style="45" customWidth="1"/>
    <col min="3855" max="3855" width="12.5703125" style="45" customWidth="1"/>
    <col min="3856" max="3856" width="12.42578125" style="45" customWidth="1"/>
    <col min="3857" max="3857" width="8.85546875" style="45" customWidth="1"/>
    <col min="3858" max="3858" width="12.5703125" style="45" customWidth="1"/>
    <col min="3859" max="3859" width="11.5703125" style="45" customWidth="1"/>
    <col min="3860" max="3867" width="8.85546875" style="45" customWidth="1"/>
    <col min="3868" max="4096" width="0" style="45" hidden="1"/>
    <col min="4097" max="4097" width="11" style="45" bestFit="1" customWidth="1"/>
    <col min="4098" max="4104" width="10.42578125" style="45" customWidth="1"/>
    <col min="4105" max="4105" width="11.85546875" style="45" customWidth="1"/>
    <col min="4106" max="4106" width="14" style="45" customWidth="1"/>
    <col min="4107" max="4107" width="13.5703125" style="45" bestFit="1" customWidth="1"/>
    <col min="4108" max="4108" width="9.85546875" style="45" customWidth="1"/>
    <col min="4109" max="4109" width="12.42578125" style="45" bestFit="1" customWidth="1"/>
    <col min="4110" max="4110" width="11.42578125" style="45" customWidth="1"/>
    <col min="4111" max="4111" width="12.5703125" style="45" customWidth="1"/>
    <col min="4112" max="4112" width="12.42578125" style="45" customWidth="1"/>
    <col min="4113" max="4113" width="8.85546875" style="45" customWidth="1"/>
    <col min="4114" max="4114" width="12.5703125" style="45" customWidth="1"/>
    <col min="4115" max="4115" width="11.5703125" style="45" customWidth="1"/>
    <col min="4116" max="4123" width="8.85546875" style="45" customWidth="1"/>
    <col min="4124" max="4352" width="0" style="45" hidden="1"/>
    <col min="4353" max="4353" width="11" style="45" bestFit="1" customWidth="1"/>
    <col min="4354" max="4360" width="10.42578125" style="45" customWidth="1"/>
    <col min="4361" max="4361" width="11.85546875" style="45" customWidth="1"/>
    <col min="4362" max="4362" width="14" style="45" customWidth="1"/>
    <col min="4363" max="4363" width="13.5703125" style="45" bestFit="1" customWidth="1"/>
    <col min="4364" max="4364" width="9.85546875" style="45" customWidth="1"/>
    <col min="4365" max="4365" width="12.42578125" style="45" bestFit="1" customWidth="1"/>
    <col min="4366" max="4366" width="11.42578125" style="45" customWidth="1"/>
    <col min="4367" max="4367" width="12.5703125" style="45" customWidth="1"/>
    <col min="4368" max="4368" width="12.42578125" style="45" customWidth="1"/>
    <col min="4369" max="4369" width="8.85546875" style="45" customWidth="1"/>
    <col min="4370" max="4370" width="12.5703125" style="45" customWidth="1"/>
    <col min="4371" max="4371" width="11.5703125" style="45" customWidth="1"/>
    <col min="4372" max="4379" width="8.85546875" style="45" customWidth="1"/>
    <col min="4380" max="4608" width="0" style="45" hidden="1"/>
    <col min="4609" max="4609" width="11" style="45" bestFit="1" customWidth="1"/>
    <col min="4610" max="4616" width="10.42578125" style="45" customWidth="1"/>
    <col min="4617" max="4617" width="11.85546875" style="45" customWidth="1"/>
    <col min="4618" max="4618" width="14" style="45" customWidth="1"/>
    <col min="4619" max="4619" width="13.5703125" style="45" bestFit="1" customWidth="1"/>
    <col min="4620" max="4620" width="9.85546875" style="45" customWidth="1"/>
    <col min="4621" max="4621" width="12.42578125" style="45" bestFit="1" customWidth="1"/>
    <col min="4622" max="4622" width="11.42578125" style="45" customWidth="1"/>
    <col min="4623" max="4623" width="12.5703125" style="45" customWidth="1"/>
    <col min="4624" max="4624" width="12.42578125" style="45" customWidth="1"/>
    <col min="4625" max="4625" width="8.85546875" style="45" customWidth="1"/>
    <col min="4626" max="4626" width="12.5703125" style="45" customWidth="1"/>
    <col min="4627" max="4627" width="11.5703125" style="45" customWidth="1"/>
    <col min="4628" max="4635" width="8.85546875" style="45" customWidth="1"/>
    <col min="4636" max="4864" width="0" style="45" hidden="1"/>
    <col min="4865" max="4865" width="11" style="45" bestFit="1" customWidth="1"/>
    <col min="4866" max="4872" width="10.42578125" style="45" customWidth="1"/>
    <col min="4873" max="4873" width="11.85546875" style="45" customWidth="1"/>
    <col min="4874" max="4874" width="14" style="45" customWidth="1"/>
    <col min="4875" max="4875" width="13.5703125" style="45" bestFit="1" customWidth="1"/>
    <col min="4876" max="4876" width="9.85546875" style="45" customWidth="1"/>
    <col min="4877" max="4877" width="12.42578125" style="45" bestFit="1" customWidth="1"/>
    <col min="4878" max="4878" width="11.42578125" style="45" customWidth="1"/>
    <col min="4879" max="4879" width="12.5703125" style="45" customWidth="1"/>
    <col min="4880" max="4880" width="12.42578125" style="45" customWidth="1"/>
    <col min="4881" max="4881" width="8.85546875" style="45" customWidth="1"/>
    <col min="4882" max="4882" width="12.5703125" style="45" customWidth="1"/>
    <col min="4883" max="4883" width="11.5703125" style="45" customWidth="1"/>
    <col min="4884" max="4891" width="8.85546875" style="45" customWidth="1"/>
    <col min="4892" max="5120" width="0" style="45" hidden="1"/>
    <col min="5121" max="5121" width="11" style="45" bestFit="1" customWidth="1"/>
    <col min="5122" max="5128" width="10.42578125" style="45" customWidth="1"/>
    <col min="5129" max="5129" width="11.85546875" style="45" customWidth="1"/>
    <col min="5130" max="5130" width="14" style="45" customWidth="1"/>
    <col min="5131" max="5131" width="13.5703125" style="45" bestFit="1" customWidth="1"/>
    <col min="5132" max="5132" width="9.85546875" style="45" customWidth="1"/>
    <col min="5133" max="5133" width="12.42578125" style="45" bestFit="1" customWidth="1"/>
    <col min="5134" max="5134" width="11.42578125" style="45" customWidth="1"/>
    <col min="5135" max="5135" width="12.5703125" style="45" customWidth="1"/>
    <col min="5136" max="5136" width="12.42578125" style="45" customWidth="1"/>
    <col min="5137" max="5137" width="8.85546875" style="45" customWidth="1"/>
    <col min="5138" max="5138" width="12.5703125" style="45" customWidth="1"/>
    <col min="5139" max="5139" width="11.5703125" style="45" customWidth="1"/>
    <col min="5140" max="5147" width="8.85546875" style="45" customWidth="1"/>
    <col min="5148" max="5376" width="0" style="45" hidden="1"/>
    <col min="5377" max="5377" width="11" style="45" bestFit="1" customWidth="1"/>
    <col min="5378" max="5384" width="10.42578125" style="45" customWidth="1"/>
    <col min="5385" max="5385" width="11.85546875" style="45" customWidth="1"/>
    <col min="5386" max="5386" width="14" style="45" customWidth="1"/>
    <col min="5387" max="5387" width="13.5703125" style="45" bestFit="1" customWidth="1"/>
    <col min="5388" max="5388" width="9.85546875" style="45" customWidth="1"/>
    <col min="5389" max="5389" width="12.42578125" style="45" bestFit="1" customWidth="1"/>
    <col min="5390" max="5390" width="11.42578125" style="45" customWidth="1"/>
    <col min="5391" max="5391" width="12.5703125" style="45" customWidth="1"/>
    <col min="5392" max="5392" width="12.42578125" style="45" customWidth="1"/>
    <col min="5393" max="5393" width="8.85546875" style="45" customWidth="1"/>
    <col min="5394" max="5394" width="12.5703125" style="45" customWidth="1"/>
    <col min="5395" max="5395" width="11.5703125" style="45" customWidth="1"/>
    <col min="5396" max="5403" width="8.85546875" style="45" customWidth="1"/>
    <col min="5404" max="5632" width="0" style="45" hidden="1"/>
    <col min="5633" max="5633" width="11" style="45" bestFit="1" customWidth="1"/>
    <col min="5634" max="5640" width="10.42578125" style="45" customWidth="1"/>
    <col min="5641" max="5641" width="11.85546875" style="45" customWidth="1"/>
    <col min="5642" max="5642" width="14" style="45" customWidth="1"/>
    <col min="5643" max="5643" width="13.5703125" style="45" bestFit="1" customWidth="1"/>
    <col min="5644" max="5644" width="9.85546875" style="45" customWidth="1"/>
    <col min="5645" max="5645" width="12.42578125" style="45" bestFit="1" customWidth="1"/>
    <col min="5646" max="5646" width="11.42578125" style="45" customWidth="1"/>
    <col min="5647" max="5647" width="12.5703125" style="45" customWidth="1"/>
    <col min="5648" max="5648" width="12.42578125" style="45" customWidth="1"/>
    <col min="5649" max="5649" width="8.85546875" style="45" customWidth="1"/>
    <col min="5650" max="5650" width="12.5703125" style="45" customWidth="1"/>
    <col min="5651" max="5651" width="11.5703125" style="45" customWidth="1"/>
    <col min="5652" max="5659" width="8.85546875" style="45" customWidth="1"/>
    <col min="5660" max="5888" width="0" style="45" hidden="1"/>
    <col min="5889" max="5889" width="11" style="45" bestFit="1" customWidth="1"/>
    <col min="5890" max="5896" width="10.42578125" style="45" customWidth="1"/>
    <col min="5897" max="5897" width="11.85546875" style="45" customWidth="1"/>
    <col min="5898" max="5898" width="14" style="45" customWidth="1"/>
    <col min="5899" max="5899" width="13.5703125" style="45" bestFit="1" customWidth="1"/>
    <col min="5900" max="5900" width="9.85546875" style="45" customWidth="1"/>
    <col min="5901" max="5901" width="12.42578125" style="45" bestFit="1" customWidth="1"/>
    <col min="5902" max="5902" width="11.42578125" style="45" customWidth="1"/>
    <col min="5903" max="5903" width="12.5703125" style="45" customWidth="1"/>
    <col min="5904" max="5904" width="12.42578125" style="45" customWidth="1"/>
    <col min="5905" max="5905" width="8.85546875" style="45" customWidth="1"/>
    <col min="5906" max="5906" width="12.5703125" style="45" customWidth="1"/>
    <col min="5907" max="5907" width="11.5703125" style="45" customWidth="1"/>
    <col min="5908" max="5915" width="8.85546875" style="45" customWidth="1"/>
    <col min="5916" max="6144" width="0" style="45" hidden="1"/>
    <col min="6145" max="6145" width="11" style="45" bestFit="1" customWidth="1"/>
    <col min="6146" max="6152" width="10.42578125" style="45" customWidth="1"/>
    <col min="6153" max="6153" width="11.85546875" style="45" customWidth="1"/>
    <col min="6154" max="6154" width="14" style="45" customWidth="1"/>
    <col min="6155" max="6155" width="13.5703125" style="45" bestFit="1" customWidth="1"/>
    <col min="6156" max="6156" width="9.85546875" style="45" customWidth="1"/>
    <col min="6157" max="6157" width="12.42578125" style="45" bestFit="1" customWidth="1"/>
    <col min="6158" max="6158" width="11.42578125" style="45" customWidth="1"/>
    <col min="6159" max="6159" width="12.5703125" style="45" customWidth="1"/>
    <col min="6160" max="6160" width="12.42578125" style="45" customWidth="1"/>
    <col min="6161" max="6161" width="8.85546875" style="45" customWidth="1"/>
    <col min="6162" max="6162" width="12.5703125" style="45" customWidth="1"/>
    <col min="6163" max="6163" width="11.5703125" style="45" customWidth="1"/>
    <col min="6164" max="6171" width="8.85546875" style="45" customWidth="1"/>
    <col min="6172" max="6400" width="0" style="45" hidden="1"/>
    <col min="6401" max="6401" width="11" style="45" bestFit="1" customWidth="1"/>
    <col min="6402" max="6408" width="10.42578125" style="45" customWidth="1"/>
    <col min="6409" max="6409" width="11.85546875" style="45" customWidth="1"/>
    <col min="6410" max="6410" width="14" style="45" customWidth="1"/>
    <col min="6411" max="6411" width="13.5703125" style="45" bestFit="1" customWidth="1"/>
    <col min="6412" max="6412" width="9.85546875" style="45" customWidth="1"/>
    <col min="6413" max="6413" width="12.42578125" style="45" bestFit="1" customWidth="1"/>
    <col min="6414" max="6414" width="11.42578125" style="45" customWidth="1"/>
    <col min="6415" max="6415" width="12.5703125" style="45" customWidth="1"/>
    <col min="6416" max="6416" width="12.42578125" style="45" customWidth="1"/>
    <col min="6417" max="6417" width="8.85546875" style="45" customWidth="1"/>
    <col min="6418" max="6418" width="12.5703125" style="45" customWidth="1"/>
    <col min="6419" max="6419" width="11.5703125" style="45" customWidth="1"/>
    <col min="6420" max="6427" width="8.85546875" style="45" customWidth="1"/>
    <col min="6428" max="6656" width="0" style="45" hidden="1"/>
    <col min="6657" max="6657" width="11" style="45" bestFit="1" customWidth="1"/>
    <col min="6658" max="6664" width="10.42578125" style="45" customWidth="1"/>
    <col min="6665" max="6665" width="11.85546875" style="45" customWidth="1"/>
    <col min="6666" max="6666" width="14" style="45" customWidth="1"/>
    <col min="6667" max="6667" width="13.5703125" style="45" bestFit="1" customWidth="1"/>
    <col min="6668" max="6668" width="9.85546875" style="45" customWidth="1"/>
    <col min="6669" max="6669" width="12.42578125" style="45" bestFit="1" customWidth="1"/>
    <col min="6670" max="6670" width="11.42578125" style="45" customWidth="1"/>
    <col min="6671" max="6671" width="12.5703125" style="45" customWidth="1"/>
    <col min="6672" max="6672" width="12.42578125" style="45" customWidth="1"/>
    <col min="6673" max="6673" width="8.85546875" style="45" customWidth="1"/>
    <col min="6674" max="6674" width="12.5703125" style="45" customWidth="1"/>
    <col min="6675" max="6675" width="11.5703125" style="45" customWidth="1"/>
    <col min="6676" max="6683" width="8.85546875" style="45" customWidth="1"/>
    <col min="6684" max="6912" width="0" style="45" hidden="1"/>
    <col min="6913" max="6913" width="11" style="45" bestFit="1" customWidth="1"/>
    <col min="6914" max="6920" width="10.42578125" style="45" customWidth="1"/>
    <col min="6921" max="6921" width="11.85546875" style="45" customWidth="1"/>
    <col min="6922" max="6922" width="14" style="45" customWidth="1"/>
    <col min="6923" max="6923" width="13.5703125" style="45" bestFit="1" customWidth="1"/>
    <col min="6924" max="6924" width="9.85546875" style="45" customWidth="1"/>
    <col min="6925" max="6925" width="12.42578125" style="45" bestFit="1" customWidth="1"/>
    <col min="6926" max="6926" width="11.42578125" style="45" customWidth="1"/>
    <col min="6927" max="6927" width="12.5703125" style="45" customWidth="1"/>
    <col min="6928" max="6928" width="12.42578125" style="45" customWidth="1"/>
    <col min="6929" max="6929" width="8.85546875" style="45" customWidth="1"/>
    <col min="6930" max="6930" width="12.5703125" style="45" customWidth="1"/>
    <col min="6931" max="6931" width="11.5703125" style="45" customWidth="1"/>
    <col min="6932" max="6939" width="8.85546875" style="45" customWidth="1"/>
    <col min="6940" max="7168" width="0" style="45" hidden="1"/>
    <col min="7169" max="7169" width="11" style="45" bestFit="1" customWidth="1"/>
    <col min="7170" max="7176" width="10.42578125" style="45" customWidth="1"/>
    <col min="7177" max="7177" width="11.85546875" style="45" customWidth="1"/>
    <col min="7178" max="7178" width="14" style="45" customWidth="1"/>
    <col min="7179" max="7179" width="13.5703125" style="45" bestFit="1" customWidth="1"/>
    <col min="7180" max="7180" width="9.85546875" style="45" customWidth="1"/>
    <col min="7181" max="7181" width="12.42578125" style="45" bestFit="1" customWidth="1"/>
    <col min="7182" max="7182" width="11.42578125" style="45" customWidth="1"/>
    <col min="7183" max="7183" width="12.5703125" style="45" customWidth="1"/>
    <col min="7184" max="7184" width="12.42578125" style="45" customWidth="1"/>
    <col min="7185" max="7185" width="8.85546875" style="45" customWidth="1"/>
    <col min="7186" max="7186" width="12.5703125" style="45" customWidth="1"/>
    <col min="7187" max="7187" width="11.5703125" style="45" customWidth="1"/>
    <col min="7188" max="7195" width="8.85546875" style="45" customWidth="1"/>
    <col min="7196" max="7424" width="0" style="45" hidden="1"/>
    <col min="7425" max="7425" width="11" style="45" bestFit="1" customWidth="1"/>
    <col min="7426" max="7432" width="10.42578125" style="45" customWidth="1"/>
    <col min="7433" max="7433" width="11.85546875" style="45" customWidth="1"/>
    <col min="7434" max="7434" width="14" style="45" customWidth="1"/>
    <col min="7435" max="7435" width="13.5703125" style="45" bestFit="1" customWidth="1"/>
    <col min="7436" max="7436" width="9.85546875" style="45" customWidth="1"/>
    <col min="7437" max="7437" width="12.42578125" style="45" bestFit="1" customWidth="1"/>
    <col min="7438" max="7438" width="11.42578125" style="45" customWidth="1"/>
    <col min="7439" max="7439" width="12.5703125" style="45" customWidth="1"/>
    <col min="7440" max="7440" width="12.42578125" style="45" customWidth="1"/>
    <col min="7441" max="7441" width="8.85546875" style="45" customWidth="1"/>
    <col min="7442" max="7442" width="12.5703125" style="45" customWidth="1"/>
    <col min="7443" max="7443" width="11.5703125" style="45" customWidth="1"/>
    <col min="7444" max="7451" width="8.85546875" style="45" customWidth="1"/>
    <col min="7452" max="7680" width="0" style="45" hidden="1"/>
    <col min="7681" max="7681" width="11" style="45" bestFit="1" customWidth="1"/>
    <col min="7682" max="7688" width="10.42578125" style="45" customWidth="1"/>
    <col min="7689" max="7689" width="11.85546875" style="45" customWidth="1"/>
    <col min="7690" max="7690" width="14" style="45" customWidth="1"/>
    <col min="7691" max="7691" width="13.5703125" style="45" bestFit="1" customWidth="1"/>
    <col min="7692" max="7692" width="9.85546875" style="45" customWidth="1"/>
    <col min="7693" max="7693" width="12.42578125" style="45" bestFit="1" customWidth="1"/>
    <col min="7694" max="7694" width="11.42578125" style="45" customWidth="1"/>
    <col min="7695" max="7695" width="12.5703125" style="45" customWidth="1"/>
    <col min="7696" max="7696" width="12.42578125" style="45" customWidth="1"/>
    <col min="7697" max="7697" width="8.85546875" style="45" customWidth="1"/>
    <col min="7698" max="7698" width="12.5703125" style="45" customWidth="1"/>
    <col min="7699" max="7699" width="11.5703125" style="45" customWidth="1"/>
    <col min="7700" max="7707" width="8.85546875" style="45" customWidth="1"/>
    <col min="7708" max="7936" width="0" style="45" hidden="1"/>
    <col min="7937" max="7937" width="11" style="45" bestFit="1" customWidth="1"/>
    <col min="7938" max="7944" width="10.42578125" style="45" customWidth="1"/>
    <col min="7945" max="7945" width="11.85546875" style="45" customWidth="1"/>
    <col min="7946" max="7946" width="14" style="45" customWidth="1"/>
    <col min="7947" max="7947" width="13.5703125" style="45" bestFit="1" customWidth="1"/>
    <col min="7948" max="7948" width="9.85546875" style="45" customWidth="1"/>
    <col min="7949" max="7949" width="12.42578125" style="45" bestFit="1" customWidth="1"/>
    <col min="7950" max="7950" width="11.42578125" style="45" customWidth="1"/>
    <col min="7951" max="7951" width="12.5703125" style="45" customWidth="1"/>
    <col min="7952" max="7952" width="12.42578125" style="45" customWidth="1"/>
    <col min="7953" max="7953" width="8.85546875" style="45" customWidth="1"/>
    <col min="7954" max="7954" width="12.5703125" style="45" customWidth="1"/>
    <col min="7955" max="7955" width="11.5703125" style="45" customWidth="1"/>
    <col min="7956" max="7963" width="8.85546875" style="45" customWidth="1"/>
    <col min="7964" max="8192" width="0" style="45" hidden="1"/>
    <col min="8193" max="8193" width="11" style="45" bestFit="1" customWidth="1"/>
    <col min="8194" max="8200" width="10.42578125" style="45" customWidth="1"/>
    <col min="8201" max="8201" width="11.85546875" style="45" customWidth="1"/>
    <col min="8202" max="8202" width="14" style="45" customWidth="1"/>
    <col min="8203" max="8203" width="13.5703125" style="45" bestFit="1" customWidth="1"/>
    <col min="8204" max="8204" width="9.85546875" style="45" customWidth="1"/>
    <col min="8205" max="8205" width="12.42578125" style="45" bestFit="1" customWidth="1"/>
    <col min="8206" max="8206" width="11.42578125" style="45" customWidth="1"/>
    <col min="8207" max="8207" width="12.5703125" style="45" customWidth="1"/>
    <col min="8208" max="8208" width="12.42578125" style="45" customWidth="1"/>
    <col min="8209" max="8209" width="8.85546875" style="45" customWidth="1"/>
    <col min="8210" max="8210" width="12.5703125" style="45" customWidth="1"/>
    <col min="8211" max="8211" width="11.5703125" style="45" customWidth="1"/>
    <col min="8212" max="8219" width="8.85546875" style="45" customWidth="1"/>
    <col min="8220" max="8448" width="0" style="45" hidden="1"/>
    <col min="8449" max="8449" width="11" style="45" bestFit="1" customWidth="1"/>
    <col min="8450" max="8456" width="10.42578125" style="45" customWidth="1"/>
    <col min="8457" max="8457" width="11.85546875" style="45" customWidth="1"/>
    <col min="8458" max="8458" width="14" style="45" customWidth="1"/>
    <col min="8459" max="8459" width="13.5703125" style="45" bestFit="1" customWidth="1"/>
    <col min="8460" max="8460" width="9.85546875" style="45" customWidth="1"/>
    <col min="8461" max="8461" width="12.42578125" style="45" bestFit="1" customWidth="1"/>
    <col min="8462" max="8462" width="11.42578125" style="45" customWidth="1"/>
    <col min="8463" max="8463" width="12.5703125" style="45" customWidth="1"/>
    <col min="8464" max="8464" width="12.42578125" style="45" customWidth="1"/>
    <col min="8465" max="8465" width="8.85546875" style="45" customWidth="1"/>
    <col min="8466" max="8466" width="12.5703125" style="45" customWidth="1"/>
    <col min="8467" max="8467" width="11.5703125" style="45" customWidth="1"/>
    <col min="8468" max="8475" width="8.85546875" style="45" customWidth="1"/>
    <col min="8476" max="8704" width="0" style="45" hidden="1"/>
    <col min="8705" max="8705" width="11" style="45" bestFit="1" customWidth="1"/>
    <col min="8706" max="8712" width="10.42578125" style="45" customWidth="1"/>
    <col min="8713" max="8713" width="11.85546875" style="45" customWidth="1"/>
    <col min="8714" max="8714" width="14" style="45" customWidth="1"/>
    <col min="8715" max="8715" width="13.5703125" style="45" bestFit="1" customWidth="1"/>
    <col min="8716" max="8716" width="9.85546875" style="45" customWidth="1"/>
    <col min="8717" max="8717" width="12.42578125" style="45" bestFit="1" customWidth="1"/>
    <col min="8718" max="8718" width="11.42578125" style="45" customWidth="1"/>
    <col min="8719" max="8719" width="12.5703125" style="45" customWidth="1"/>
    <col min="8720" max="8720" width="12.42578125" style="45" customWidth="1"/>
    <col min="8721" max="8721" width="8.85546875" style="45" customWidth="1"/>
    <col min="8722" max="8722" width="12.5703125" style="45" customWidth="1"/>
    <col min="8723" max="8723" width="11.5703125" style="45" customWidth="1"/>
    <col min="8724" max="8731" width="8.85546875" style="45" customWidth="1"/>
    <col min="8732" max="8960" width="0" style="45" hidden="1"/>
    <col min="8961" max="8961" width="11" style="45" bestFit="1" customWidth="1"/>
    <col min="8962" max="8968" width="10.42578125" style="45" customWidth="1"/>
    <col min="8969" max="8969" width="11.85546875" style="45" customWidth="1"/>
    <col min="8970" max="8970" width="14" style="45" customWidth="1"/>
    <col min="8971" max="8971" width="13.5703125" style="45" bestFit="1" customWidth="1"/>
    <col min="8972" max="8972" width="9.85546875" style="45" customWidth="1"/>
    <col min="8973" max="8973" width="12.42578125" style="45" bestFit="1" customWidth="1"/>
    <col min="8974" max="8974" width="11.42578125" style="45" customWidth="1"/>
    <col min="8975" max="8975" width="12.5703125" style="45" customWidth="1"/>
    <col min="8976" max="8976" width="12.42578125" style="45" customWidth="1"/>
    <col min="8977" max="8977" width="8.85546875" style="45" customWidth="1"/>
    <col min="8978" max="8978" width="12.5703125" style="45" customWidth="1"/>
    <col min="8979" max="8979" width="11.5703125" style="45" customWidth="1"/>
    <col min="8980" max="8987" width="8.85546875" style="45" customWidth="1"/>
    <col min="8988" max="9216" width="0" style="45" hidden="1"/>
    <col min="9217" max="9217" width="11" style="45" bestFit="1" customWidth="1"/>
    <col min="9218" max="9224" width="10.42578125" style="45" customWidth="1"/>
    <col min="9225" max="9225" width="11.85546875" style="45" customWidth="1"/>
    <col min="9226" max="9226" width="14" style="45" customWidth="1"/>
    <col min="9227" max="9227" width="13.5703125" style="45" bestFit="1" customWidth="1"/>
    <col min="9228" max="9228" width="9.85546875" style="45" customWidth="1"/>
    <col min="9229" max="9229" width="12.42578125" style="45" bestFit="1" customWidth="1"/>
    <col min="9230" max="9230" width="11.42578125" style="45" customWidth="1"/>
    <col min="9231" max="9231" width="12.5703125" style="45" customWidth="1"/>
    <col min="9232" max="9232" width="12.42578125" style="45" customWidth="1"/>
    <col min="9233" max="9233" width="8.85546875" style="45" customWidth="1"/>
    <col min="9234" max="9234" width="12.5703125" style="45" customWidth="1"/>
    <col min="9235" max="9235" width="11.5703125" style="45" customWidth="1"/>
    <col min="9236" max="9243" width="8.85546875" style="45" customWidth="1"/>
    <col min="9244" max="9472" width="0" style="45" hidden="1"/>
    <col min="9473" max="9473" width="11" style="45" bestFit="1" customWidth="1"/>
    <col min="9474" max="9480" width="10.42578125" style="45" customWidth="1"/>
    <col min="9481" max="9481" width="11.85546875" style="45" customWidth="1"/>
    <col min="9482" max="9482" width="14" style="45" customWidth="1"/>
    <col min="9483" max="9483" width="13.5703125" style="45" bestFit="1" customWidth="1"/>
    <col min="9484" max="9484" width="9.85546875" style="45" customWidth="1"/>
    <col min="9485" max="9485" width="12.42578125" style="45" bestFit="1" customWidth="1"/>
    <col min="9486" max="9486" width="11.42578125" style="45" customWidth="1"/>
    <col min="9487" max="9487" width="12.5703125" style="45" customWidth="1"/>
    <col min="9488" max="9488" width="12.42578125" style="45" customWidth="1"/>
    <col min="9489" max="9489" width="8.85546875" style="45" customWidth="1"/>
    <col min="9490" max="9490" width="12.5703125" style="45" customWidth="1"/>
    <col min="9491" max="9491" width="11.5703125" style="45" customWidth="1"/>
    <col min="9492" max="9499" width="8.85546875" style="45" customWidth="1"/>
    <col min="9500" max="9728" width="0" style="45" hidden="1"/>
    <col min="9729" max="9729" width="11" style="45" bestFit="1" customWidth="1"/>
    <col min="9730" max="9736" width="10.42578125" style="45" customWidth="1"/>
    <col min="9737" max="9737" width="11.85546875" style="45" customWidth="1"/>
    <col min="9738" max="9738" width="14" style="45" customWidth="1"/>
    <col min="9739" max="9739" width="13.5703125" style="45" bestFit="1" customWidth="1"/>
    <col min="9740" max="9740" width="9.85546875" style="45" customWidth="1"/>
    <col min="9741" max="9741" width="12.42578125" style="45" bestFit="1" customWidth="1"/>
    <col min="9742" max="9742" width="11.42578125" style="45" customWidth="1"/>
    <col min="9743" max="9743" width="12.5703125" style="45" customWidth="1"/>
    <col min="9744" max="9744" width="12.42578125" style="45" customWidth="1"/>
    <col min="9745" max="9745" width="8.85546875" style="45" customWidth="1"/>
    <col min="9746" max="9746" width="12.5703125" style="45" customWidth="1"/>
    <col min="9747" max="9747" width="11.5703125" style="45" customWidth="1"/>
    <col min="9748" max="9755" width="8.85546875" style="45" customWidth="1"/>
    <col min="9756" max="9984" width="0" style="45" hidden="1"/>
    <col min="9985" max="9985" width="11" style="45" bestFit="1" customWidth="1"/>
    <col min="9986" max="9992" width="10.42578125" style="45" customWidth="1"/>
    <col min="9993" max="9993" width="11.85546875" style="45" customWidth="1"/>
    <col min="9994" max="9994" width="14" style="45" customWidth="1"/>
    <col min="9995" max="9995" width="13.5703125" style="45" bestFit="1" customWidth="1"/>
    <col min="9996" max="9996" width="9.85546875" style="45" customWidth="1"/>
    <col min="9997" max="9997" width="12.42578125" style="45" bestFit="1" customWidth="1"/>
    <col min="9998" max="9998" width="11.42578125" style="45" customWidth="1"/>
    <col min="9999" max="9999" width="12.5703125" style="45" customWidth="1"/>
    <col min="10000" max="10000" width="12.42578125" style="45" customWidth="1"/>
    <col min="10001" max="10001" width="8.85546875" style="45" customWidth="1"/>
    <col min="10002" max="10002" width="12.5703125" style="45" customWidth="1"/>
    <col min="10003" max="10003" width="11.5703125" style="45" customWidth="1"/>
    <col min="10004" max="10011" width="8.85546875" style="45" customWidth="1"/>
    <col min="10012" max="10240" width="0" style="45" hidden="1"/>
    <col min="10241" max="10241" width="11" style="45" bestFit="1" customWidth="1"/>
    <col min="10242" max="10248" width="10.42578125" style="45" customWidth="1"/>
    <col min="10249" max="10249" width="11.85546875" style="45" customWidth="1"/>
    <col min="10250" max="10250" width="14" style="45" customWidth="1"/>
    <col min="10251" max="10251" width="13.5703125" style="45" bestFit="1" customWidth="1"/>
    <col min="10252" max="10252" width="9.85546875" style="45" customWidth="1"/>
    <col min="10253" max="10253" width="12.42578125" style="45" bestFit="1" customWidth="1"/>
    <col min="10254" max="10254" width="11.42578125" style="45" customWidth="1"/>
    <col min="10255" max="10255" width="12.5703125" style="45" customWidth="1"/>
    <col min="10256" max="10256" width="12.42578125" style="45" customWidth="1"/>
    <col min="10257" max="10257" width="8.85546875" style="45" customWidth="1"/>
    <col min="10258" max="10258" width="12.5703125" style="45" customWidth="1"/>
    <col min="10259" max="10259" width="11.5703125" style="45" customWidth="1"/>
    <col min="10260" max="10267" width="8.85546875" style="45" customWidth="1"/>
    <col min="10268" max="10496" width="0" style="45" hidden="1"/>
    <col min="10497" max="10497" width="11" style="45" bestFit="1" customWidth="1"/>
    <col min="10498" max="10504" width="10.42578125" style="45" customWidth="1"/>
    <col min="10505" max="10505" width="11.85546875" style="45" customWidth="1"/>
    <col min="10506" max="10506" width="14" style="45" customWidth="1"/>
    <col min="10507" max="10507" width="13.5703125" style="45" bestFit="1" customWidth="1"/>
    <col min="10508" max="10508" width="9.85546875" style="45" customWidth="1"/>
    <col min="10509" max="10509" width="12.42578125" style="45" bestFit="1" customWidth="1"/>
    <col min="10510" max="10510" width="11.42578125" style="45" customWidth="1"/>
    <col min="10511" max="10511" width="12.5703125" style="45" customWidth="1"/>
    <col min="10512" max="10512" width="12.42578125" style="45" customWidth="1"/>
    <col min="10513" max="10513" width="8.85546875" style="45" customWidth="1"/>
    <col min="10514" max="10514" width="12.5703125" style="45" customWidth="1"/>
    <col min="10515" max="10515" width="11.5703125" style="45" customWidth="1"/>
    <col min="10516" max="10523" width="8.85546875" style="45" customWidth="1"/>
    <col min="10524" max="10752" width="0" style="45" hidden="1"/>
    <col min="10753" max="10753" width="11" style="45" bestFit="1" customWidth="1"/>
    <col min="10754" max="10760" width="10.42578125" style="45" customWidth="1"/>
    <col min="10761" max="10761" width="11.85546875" style="45" customWidth="1"/>
    <col min="10762" max="10762" width="14" style="45" customWidth="1"/>
    <col min="10763" max="10763" width="13.5703125" style="45" bestFit="1" customWidth="1"/>
    <col min="10764" max="10764" width="9.85546875" style="45" customWidth="1"/>
    <col min="10765" max="10765" width="12.42578125" style="45" bestFit="1" customWidth="1"/>
    <col min="10766" max="10766" width="11.42578125" style="45" customWidth="1"/>
    <col min="10767" max="10767" width="12.5703125" style="45" customWidth="1"/>
    <col min="10768" max="10768" width="12.42578125" style="45" customWidth="1"/>
    <col min="10769" max="10769" width="8.85546875" style="45" customWidth="1"/>
    <col min="10770" max="10770" width="12.5703125" style="45" customWidth="1"/>
    <col min="10771" max="10771" width="11.5703125" style="45" customWidth="1"/>
    <col min="10772" max="10779" width="8.85546875" style="45" customWidth="1"/>
    <col min="10780" max="11008" width="0" style="45" hidden="1"/>
    <col min="11009" max="11009" width="11" style="45" bestFit="1" customWidth="1"/>
    <col min="11010" max="11016" width="10.42578125" style="45" customWidth="1"/>
    <col min="11017" max="11017" width="11.85546875" style="45" customWidth="1"/>
    <col min="11018" max="11018" width="14" style="45" customWidth="1"/>
    <col min="11019" max="11019" width="13.5703125" style="45" bestFit="1" customWidth="1"/>
    <col min="11020" max="11020" width="9.85546875" style="45" customWidth="1"/>
    <col min="11021" max="11021" width="12.42578125" style="45" bestFit="1" customWidth="1"/>
    <col min="11022" max="11022" width="11.42578125" style="45" customWidth="1"/>
    <col min="11023" max="11023" width="12.5703125" style="45" customWidth="1"/>
    <col min="11024" max="11024" width="12.42578125" style="45" customWidth="1"/>
    <col min="11025" max="11025" width="8.85546875" style="45" customWidth="1"/>
    <col min="11026" max="11026" width="12.5703125" style="45" customWidth="1"/>
    <col min="11027" max="11027" width="11.5703125" style="45" customWidth="1"/>
    <col min="11028" max="11035" width="8.85546875" style="45" customWidth="1"/>
    <col min="11036" max="11264" width="0" style="45" hidden="1"/>
    <col min="11265" max="11265" width="11" style="45" bestFit="1" customWidth="1"/>
    <col min="11266" max="11272" width="10.42578125" style="45" customWidth="1"/>
    <col min="11273" max="11273" width="11.85546875" style="45" customWidth="1"/>
    <col min="11274" max="11274" width="14" style="45" customWidth="1"/>
    <col min="11275" max="11275" width="13.5703125" style="45" bestFit="1" customWidth="1"/>
    <col min="11276" max="11276" width="9.85546875" style="45" customWidth="1"/>
    <col min="11277" max="11277" width="12.42578125" style="45" bestFit="1" customWidth="1"/>
    <col min="11278" max="11278" width="11.42578125" style="45" customWidth="1"/>
    <col min="11279" max="11279" width="12.5703125" style="45" customWidth="1"/>
    <col min="11280" max="11280" width="12.42578125" style="45" customWidth="1"/>
    <col min="11281" max="11281" width="8.85546875" style="45" customWidth="1"/>
    <col min="11282" max="11282" width="12.5703125" style="45" customWidth="1"/>
    <col min="11283" max="11283" width="11.5703125" style="45" customWidth="1"/>
    <col min="11284" max="11291" width="8.85546875" style="45" customWidth="1"/>
    <col min="11292" max="11520" width="0" style="45" hidden="1"/>
    <col min="11521" max="11521" width="11" style="45" bestFit="1" customWidth="1"/>
    <col min="11522" max="11528" width="10.42578125" style="45" customWidth="1"/>
    <col min="11529" max="11529" width="11.85546875" style="45" customWidth="1"/>
    <col min="11530" max="11530" width="14" style="45" customWidth="1"/>
    <col min="11531" max="11531" width="13.5703125" style="45" bestFit="1" customWidth="1"/>
    <col min="11532" max="11532" width="9.85546875" style="45" customWidth="1"/>
    <col min="11533" max="11533" width="12.42578125" style="45" bestFit="1" customWidth="1"/>
    <col min="11534" max="11534" width="11.42578125" style="45" customWidth="1"/>
    <col min="11535" max="11535" width="12.5703125" style="45" customWidth="1"/>
    <col min="11536" max="11536" width="12.42578125" style="45" customWidth="1"/>
    <col min="11537" max="11537" width="8.85546875" style="45" customWidth="1"/>
    <col min="11538" max="11538" width="12.5703125" style="45" customWidth="1"/>
    <col min="11539" max="11539" width="11.5703125" style="45" customWidth="1"/>
    <col min="11540" max="11547" width="8.85546875" style="45" customWidth="1"/>
    <col min="11548" max="11776" width="0" style="45" hidden="1"/>
    <col min="11777" max="11777" width="11" style="45" bestFit="1" customWidth="1"/>
    <col min="11778" max="11784" width="10.42578125" style="45" customWidth="1"/>
    <col min="11785" max="11785" width="11.85546875" style="45" customWidth="1"/>
    <col min="11786" max="11786" width="14" style="45" customWidth="1"/>
    <col min="11787" max="11787" width="13.5703125" style="45" bestFit="1" customWidth="1"/>
    <col min="11788" max="11788" width="9.85546875" style="45" customWidth="1"/>
    <col min="11789" max="11789" width="12.42578125" style="45" bestFit="1" customWidth="1"/>
    <col min="11790" max="11790" width="11.42578125" style="45" customWidth="1"/>
    <col min="11791" max="11791" width="12.5703125" style="45" customWidth="1"/>
    <col min="11792" max="11792" width="12.42578125" style="45" customWidth="1"/>
    <col min="11793" max="11793" width="8.85546875" style="45" customWidth="1"/>
    <col min="11794" max="11794" width="12.5703125" style="45" customWidth="1"/>
    <col min="11795" max="11795" width="11.5703125" style="45" customWidth="1"/>
    <col min="11796" max="11803" width="8.85546875" style="45" customWidth="1"/>
    <col min="11804" max="12032" width="0" style="45" hidden="1"/>
    <col min="12033" max="12033" width="11" style="45" bestFit="1" customWidth="1"/>
    <col min="12034" max="12040" width="10.42578125" style="45" customWidth="1"/>
    <col min="12041" max="12041" width="11.85546875" style="45" customWidth="1"/>
    <col min="12042" max="12042" width="14" style="45" customWidth="1"/>
    <col min="12043" max="12043" width="13.5703125" style="45" bestFit="1" customWidth="1"/>
    <col min="12044" max="12044" width="9.85546875" style="45" customWidth="1"/>
    <col min="12045" max="12045" width="12.42578125" style="45" bestFit="1" customWidth="1"/>
    <col min="12046" max="12046" width="11.42578125" style="45" customWidth="1"/>
    <col min="12047" max="12047" width="12.5703125" style="45" customWidth="1"/>
    <col min="12048" max="12048" width="12.42578125" style="45" customWidth="1"/>
    <col min="12049" max="12049" width="8.85546875" style="45" customWidth="1"/>
    <col min="12050" max="12050" width="12.5703125" style="45" customWidth="1"/>
    <col min="12051" max="12051" width="11.5703125" style="45" customWidth="1"/>
    <col min="12052" max="12059" width="8.85546875" style="45" customWidth="1"/>
    <col min="12060" max="12288" width="0" style="45" hidden="1"/>
    <col min="12289" max="12289" width="11" style="45" bestFit="1" customWidth="1"/>
    <col min="12290" max="12296" width="10.42578125" style="45" customWidth="1"/>
    <col min="12297" max="12297" width="11.85546875" style="45" customWidth="1"/>
    <col min="12298" max="12298" width="14" style="45" customWidth="1"/>
    <col min="12299" max="12299" width="13.5703125" style="45" bestFit="1" customWidth="1"/>
    <col min="12300" max="12300" width="9.85546875" style="45" customWidth="1"/>
    <col min="12301" max="12301" width="12.42578125" style="45" bestFit="1" customWidth="1"/>
    <col min="12302" max="12302" width="11.42578125" style="45" customWidth="1"/>
    <col min="12303" max="12303" width="12.5703125" style="45" customWidth="1"/>
    <col min="12304" max="12304" width="12.42578125" style="45" customWidth="1"/>
    <col min="12305" max="12305" width="8.85546875" style="45" customWidth="1"/>
    <col min="12306" max="12306" width="12.5703125" style="45" customWidth="1"/>
    <col min="12307" max="12307" width="11.5703125" style="45" customWidth="1"/>
    <col min="12308" max="12315" width="8.85546875" style="45" customWidth="1"/>
    <col min="12316" max="12544" width="0" style="45" hidden="1"/>
    <col min="12545" max="12545" width="11" style="45" bestFit="1" customWidth="1"/>
    <col min="12546" max="12552" width="10.42578125" style="45" customWidth="1"/>
    <col min="12553" max="12553" width="11.85546875" style="45" customWidth="1"/>
    <col min="12554" max="12554" width="14" style="45" customWidth="1"/>
    <col min="12555" max="12555" width="13.5703125" style="45" bestFit="1" customWidth="1"/>
    <col min="12556" max="12556" width="9.85546875" style="45" customWidth="1"/>
    <col min="12557" max="12557" width="12.42578125" style="45" bestFit="1" customWidth="1"/>
    <col min="12558" max="12558" width="11.42578125" style="45" customWidth="1"/>
    <col min="12559" max="12559" width="12.5703125" style="45" customWidth="1"/>
    <col min="12560" max="12560" width="12.42578125" style="45" customWidth="1"/>
    <col min="12561" max="12561" width="8.85546875" style="45" customWidth="1"/>
    <col min="12562" max="12562" width="12.5703125" style="45" customWidth="1"/>
    <col min="12563" max="12563" width="11.5703125" style="45" customWidth="1"/>
    <col min="12564" max="12571" width="8.85546875" style="45" customWidth="1"/>
    <col min="12572" max="12800" width="0" style="45" hidden="1"/>
    <col min="12801" max="12801" width="11" style="45" bestFit="1" customWidth="1"/>
    <col min="12802" max="12808" width="10.42578125" style="45" customWidth="1"/>
    <col min="12809" max="12809" width="11.85546875" style="45" customWidth="1"/>
    <col min="12810" max="12810" width="14" style="45" customWidth="1"/>
    <col min="12811" max="12811" width="13.5703125" style="45" bestFit="1" customWidth="1"/>
    <col min="12812" max="12812" width="9.85546875" style="45" customWidth="1"/>
    <col min="12813" max="12813" width="12.42578125" style="45" bestFit="1" customWidth="1"/>
    <col min="12814" max="12814" width="11.42578125" style="45" customWidth="1"/>
    <col min="12815" max="12815" width="12.5703125" style="45" customWidth="1"/>
    <col min="12816" max="12816" width="12.42578125" style="45" customWidth="1"/>
    <col min="12817" max="12817" width="8.85546875" style="45" customWidth="1"/>
    <col min="12818" max="12818" width="12.5703125" style="45" customWidth="1"/>
    <col min="12819" max="12819" width="11.5703125" style="45" customWidth="1"/>
    <col min="12820" max="12827" width="8.85546875" style="45" customWidth="1"/>
    <col min="12828" max="13056" width="0" style="45" hidden="1"/>
    <col min="13057" max="13057" width="11" style="45" bestFit="1" customWidth="1"/>
    <col min="13058" max="13064" width="10.42578125" style="45" customWidth="1"/>
    <col min="13065" max="13065" width="11.85546875" style="45" customWidth="1"/>
    <col min="13066" max="13066" width="14" style="45" customWidth="1"/>
    <col min="13067" max="13067" width="13.5703125" style="45" bestFit="1" customWidth="1"/>
    <col min="13068" max="13068" width="9.85546875" style="45" customWidth="1"/>
    <col min="13069" max="13069" width="12.42578125" style="45" bestFit="1" customWidth="1"/>
    <col min="13070" max="13070" width="11.42578125" style="45" customWidth="1"/>
    <col min="13071" max="13071" width="12.5703125" style="45" customWidth="1"/>
    <col min="13072" max="13072" width="12.42578125" style="45" customWidth="1"/>
    <col min="13073" max="13073" width="8.85546875" style="45" customWidth="1"/>
    <col min="13074" max="13074" width="12.5703125" style="45" customWidth="1"/>
    <col min="13075" max="13075" width="11.5703125" style="45" customWidth="1"/>
    <col min="13076" max="13083" width="8.85546875" style="45" customWidth="1"/>
    <col min="13084" max="13312" width="0" style="45" hidden="1"/>
    <col min="13313" max="13313" width="11" style="45" bestFit="1" customWidth="1"/>
    <col min="13314" max="13320" width="10.42578125" style="45" customWidth="1"/>
    <col min="13321" max="13321" width="11.85546875" style="45" customWidth="1"/>
    <col min="13322" max="13322" width="14" style="45" customWidth="1"/>
    <col min="13323" max="13323" width="13.5703125" style="45" bestFit="1" customWidth="1"/>
    <col min="13324" max="13324" width="9.85546875" style="45" customWidth="1"/>
    <col min="13325" max="13325" width="12.42578125" style="45" bestFit="1" customWidth="1"/>
    <col min="13326" max="13326" width="11.42578125" style="45" customWidth="1"/>
    <col min="13327" max="13327" width="12.5703125" style="45" customWidth="1"/>
    <col min="13328" max="13328" width="12.42578125" style="45" customWidth="1"/>
    <col min="13329" max="13329" width="8.85546875" style="45" customWidth="1"/>
    <col min="13330" max="13330" width="12.5703125" style="45" customWidth="1"/>
    <col min="13331" max="13331" width="11.5703125" style="45" customWidth="1"/>
    <col min="13332" max="13339" width="8.85546875" style="45" customWidth="1"/>
    <col min="13340" max="13568" width="0" style="45" hidden="1"/>
    <col min="13569" max="13569" width="11" style="45" bestFit="1" customWidth="1"/>
    <col min="13570" max="13576" width="10.42578125" style="45" customWidth="1"/>
    <col min="13577" max="13577" width="11.85546875" style="45" customWidth="1"/>
    <col min="13578" max="13578" width="14" style="45" customWidth="1"/>
    <col min="13579" max="13579" width="13.5703125" style="45" bestFit="1" customWidth="1"/>
    <col min="13580" max="13580" width="9.85546875" style="45" customWidth="1"/>
    <col min="13581" max="13581" width="12.42578125" style="45" bestFit="1" customWidth="1"/>
    <col min="13582" max="13582" width="11.42578125" style="45" customWidth="1"/>
    <col min="13583" max="13583" width="12.5703125" style="45" customWidth="1"/>
    <col min="13584" max="13584" width="12.42578125" style="45" customWidth="1"/>
    <col min="13585" max="13585" width="8.85546875" style="45" customWidth="1"/>
    <col min="13586" max="13586" width="12.5703125" style="45" customWidth="1"/>
    <col min="13587" max="13587" width="11.5703125" style="45" customWidth="1"/>
    <col min="13588" max="13595" width="8.85546875" style="45" customWidth="1"/>
    <col min="13596" max="13824" width="0" style="45" hidden="1"/>
    <col min="13825" max="13825" width="11" style="45" bestFit="1" customWidth="1"/>
    <col min="13826" max="13832" width="10.42578125" style="45" customWidth="1"/>
    <col min="13833" max="13833" width="11.85546875" style="45" customWidth="1"/>
    <col min="13834" max="13834" width="14" style="45" customWidth="1"/>
    <col min="13835" max="13835" width="13.5703125" style="45" bestFit="1" customWidth="1"/>
    <col min="13836" max="13836" width="9.85546875" style="45" customWidth="1"/>
    <col min="13837" max="13837" width="12.42578125" style="45" bestFit="1" customWidth="1"/>
    <col min="13838" max="13838" width="11.42578125" style="45" customWidth="1"/>
    <col min="13839" max="13839" width="12.5703125" style="45" customWidth="1"/>
    <col min="13840" max="13840" width="12.42578125" style="45" customWidth="1"/>
    <col min="13841" max="13841" width="8.85546875" style="45" customWidth="1"/>
    <col min="13842" max="13842" width="12.5703125" style="45" customWidth="1"/>
    <col min="13843" max="13843" width="11.5703125" style="45" customWidth="1"/>
    <col min="13844" max="13851" width="8.85546875" style="45" customWidth="1"/>
    <col min="13852" max="14080" width="0" style="45" hidden="1"/>
    <col min="14081" max="14081" width="11" style="45" bestFit="1" customWidth="1"/>
    <col min="14082" max="14088" width="10.42578125" style="45" customWidth="1"/>
    <col min="14089" max="14089" width="11.85546875" style="45" customWidth="1"/>
    <col min="14090" max="14090" width="14" style="45" customWidth="1"/>
    <col min="14091" max="14091" width="13.5703125" style="45" bestFit="1" customWidth="1"/>
    <col min="14092" max="14092" width="9.85546875" style="45" customWidth="1"/>
    <col min="14093" max="14093" width="12.42578125" style="45" bestFit="1" customWidth="1"/>
    <col min="14094" max="14094" width="11.42578125" style="45" customWidth="1"/>
    <col min="14095" max="14095" width="12.5703125" style="45" customWidth="1"/>
    <col min="14096" max="14096" width="12.42578125" style="45" customWidth="1"/>
    <col min="14097" max="14097" width="8.85546875" style="45" customWidth="1"/>
    <col min="14098" max="14098" width="12.5703125" style="45" customWidth="1"/>
    <col min="14099" max="14099" width="11.5703125" style="45" customWidth="1"/>
    <col min="14100" max="14107" width="8.85546875" style="45" customWidth="1"/>
    <col min="14108" max="14336" width="0" style="45" hidden="1"/>
    <col min="14337" max="14337" width="11" style="45" bestFit="1" customWidth="1"/>
    <col min="14338" max="14344" width="10.42578125" style="45" customWidth="1"/>
    <col min="14345" max="14345" width="11.85546875" style="45" customWidth="1"/>
    <col min="14346" max="14346" width="14" style="45" customWidth="1"/>
    <col min="14347" max="14347" width="13.5703125" style="45" bestFit="1" customWidth="1"/>
    <col min="14348" max="14348" width="9.85546875" style="45" customWidth="1"/>
    <col min="14349" max="14349" width="12.42578125" style="45" bestFit="1" customWidth="1"/>
    <col min="14350" max="14350" width="11.42578125" style="45" customWidth="1"/>
    <col min="14351" max="14351" width="12.5703125" style="45" customWidth="1"/>
    <col min="14352" max="14352" width="12.42578125" style="45" customWidth="1"/>
    <col min="14353" max="14353" width="8.85546875" style="45" customWidth="1"/>
    <col min="14354" max="14354" width="12.5703125" style="45" customWidth="1"/>
    <col min="14355" max="14355" width="11.5703125" style="45" customWidth="1"/>
    <col min="14356" max="14363" width="8.85546875" style="45" customWidth="1"/>
    <col min="14364" max="14592" width="0" style="45" hidden="1"/>
    <col min="14593" max="14593" width="11" style="45" bestFit="1" customWidth="1"/>
    <col min="14594" max="14600" width="10.42578125" style="45" customWidth="1"/>
    <col min="14601" max="14601" width="11.85546875" style="45" customWidth="1"/>
    <col min="14602" max="14602" width="14" style="45" customWidth="1"/>
    <col min="14603" max="14603" width="13.5703125" style="45" bestFit="1" customWidth="1"/>
    <col min="14604" max="14604" width="9.85546875" style="45" customWidth="1"/>
    <col min="14605" max="14605" width="12.42578125" style="45" bestFit="1" customWidth="1"/>
    <col min="14606" max="14606" width="11.42578125" style="45" customWidth="1"/>
    <col min="14607" max="14607" width="12.5703125" style="45" customWidth="1"/>
    <col min="14608" max="14608" width="12.42578125" style="45" customWidth="1"/>
    <col min="14609" max="14609" width="8.85546875" style="45" customWidth="1"/>
    <col min="14610" max="14610" width="12.5703125" style="45" customWidth="1"/>
    <col min="14611" max="14611" width="11.5703125" style="45" customWidth="1"/>
    <col min="14612" max="14619" width="8.85546875" style="45" customWidth="1"/>
    <col min="14620" max="14848" width="0" style="45" hidden="1"/>
    <col min="14849" max="14849" width="11" style="45" bestFit="1" customWidth="1"/>
    <col min="14850" max="14856" width="10.42578125" style="45" customWidth="1"/>
    <col min="14857" max="14857" width="11.85546875" style="45" customWidth="1"/>
    <col min="14858" max="14858" width="14" style="45" customWidth="1"/>
    <col min="14859" max="14859" width="13.5703125" style="45" bestFit="1" customWidth="1"/>
    <col min="14860" max="14860" width="9.85546875" style="45" customWidth="1"/>
    <col min="14861" max="14861" width="12.42578125" style="45" bestFit="1" customWidth="1"/>
    <col min="14862" max="14862" width="11.42578125" style="45" customWidth="1"/>
    <col min="14863" max="14863" width="12.5703125" style="45" customWidth="1"/>
    <col min="14864" max="14864" width="12.42578125" style="45" customWidth="1"/>
    <col min="14865" max="14865" width="8.85546875" style="45" customWidth="1"/>
    <col min="14866" max="14866" width="12.5703125" style="45" customWidth="1"/>
    <col min="14867" max="14867" width="11.5703125" style="45" customWidth="1"/>
    <col min="14868" max="14875" width="8.85546875" style="45" customWidth="1"/>
    <col min="14876" max="15104" width="0" style="45" hidden="1"/>
    <col min="15105" max="15105" width="11" style="45" bestFit="1" customWidth="1"/>
    <col min="15106" max="15112" width="10.42578125" style="45" customWidth="1"/>
    <col min="15113" max="15113" width="11.85546875" style="45" customWidth="1"/>
    <col min="15114" max="15114" width="14" style="45" customWidth="1"/>
    <col min="15115" max="15115" width="13.5703125" style="45" bestFit="1" customWidth="1"/>
    <col min="15116" max="15116" width="9.85546875" style="45" customWidth="1"/>
    <col min="15117" max="15117" width="12.42578125" style="45" bestFit="1" customWidth="1"/>
    <col min="15118" max="15118" width="11.42578125" style="45" customWidth="1"/>
    <col min="15119" max="15119" width="12.5703125" style="45" customWidth="1"/>
    <col min="15120" max="15120" width="12.42578125" style="45" customWidth="1"/>
    <col min="15121" max="15121" width="8.85546875" style="45" customWidth="1"/>
    <col min="15122" max="15122" width="12.5703125" style="45" customWidth="1"/>
    <col min="15123" max="15123" width="11.5703125" style="45" customWidth="1"/>
    <col min="15124" max="15131" width="8.85546875" style="45" customWidth="1"/>
    <col min="15132" max="15360" width="0" style="45" hidden="1"/>
    <col min="15361" max="15361" width="11" style="45" bestFit="1" customWidth="1"/>
    <col min="15362" max="15368" width="10.42578125" style="45" customWidth="1"/>
    <col min="15369" max="15369" width="11.85546875" style="45" customWidth="1"/>
    <col min="15370" max="15370" width="14" style="45" customWidth="1"/>
    <col min="15371" max="15371" width="13.5703125" style="45" bestFit="1" customWidth="1"/>
    <col min="15372" max="15372" width="9.85546875" style="45" customWidth="1"/>
    <col min="15373" max="15373" width="12.42578125" style="45" bestFit="1" customWidth="1"/>
    <col min="15374" max="15374" width="11.42578125" style="45" customWidth="1"/>
    <col min="15375" max="15375" width="12.5703125" style="45" customWidth="1"/>
    <col min="15376" max="15376" width="12.42578125" style="45" customWidth="1"/>
    <col min="15377" max="15377" width="8.85546875" style="45" customWidth="1"/>
    <col min="15378" max="15378" width="12.5703125" style="45" customWidth="1"/>
    <col min="15379" max="15379" width="11.5703125" style="45" customWidth="1"/>
    <col min="15380" max="15387" width="8.85546875" style="45" customWidth="1"/>
    <col min="15388" max="15616" width="0" style="45" hidden="1"/>
    <col min="15617" max="15617" width="11" style="45" bestFit="1" customWidth="1"/>
    <col min="15618" max="15624" width="10.42578125" style="45" customWidth="1"/>
    <col min="15625" max="15625" width="11.85546875" style="45" customWidth="1"/>
    <col min="15626" max="15626" width="14" style="45" customWidth="1"/>
    <col min="15627" max="15627" width="13.5703125" style="45" bestFit="1" customWidth="1"/>
    <col min="15628" max="15628" width="9.85546875" style="45" customWidth="1"/>
    <col min="15629" max="15629" width="12.42578125" style="45" bestFit="1" customWidth="1"/>
    <col min="15630" max="15630" width="11.42578125" style="45" customWidth="1"/>
    <col min="15631" max="15631" width="12.5703125" style="45" customWidth="1"/>
    <col min="15632" max="15632" width="12.42578125" style="45" customWidth="1"/>
    <col min="15633" max="15633" width="8.85546875" style="45" customWidth="1"/>
    <col min="15634" max="15634" width="12.5703125" style="45" customWidth="1"/>
    <col min="15635" max="15635" width="11.5703125" style="45" customWidth="1"/>
    <col min="15636" max="15643" width="8.85546875" style="45" customWidth="1"/>
    <col min="15644" max="15872" width="0" style="45" hidden="1"/>
    <col min="15873" max="15873" width="11" style="45" bestFit="1" customWidth="1"/>
    <col min="15874" max="15880" width="10.42578125" style="45" customWidth="1"/>
    <col min="15881" max="15881" width="11.85546875" style="45" customWidth="1"/>
    <col min="15882" max="15882" width="14" style="45" customWidth="1"/>
    <col min="15883" max="15883" width="13.5703125" style="45" bestFit="1" customWidth="1"/>
    <col min="15884" max="15884" width="9.85546875" style="45" customWidth="1"/>
    <col min="15885" max="15885" width="12.42578125" style="45" bestFit="1" customWidth="1"/>
    <col min="15886" max="15886" width="11.42578125" style="45" customWidth="1"/>
    <col min="15887" max="15887" width="12.5703125" style="45" customWidth="1"/>
    <col min="15888" max="15888" width="12.42578125" style="45" customWidth="1"/>
    <col min="15889" max="15889" width="8.85546875" style="45" customWidth="1"/>
    <col min="15890" max="15890" width="12.5703125" style="45" customWidth="1"/>
    <col min="15891" max="15891" width="11.5703125" style="45" customWidth="1"/>
    <col min="15892" max="15899" width="8.85546875" style="45" customWidth="1"/>
    <col min="15900" max="16128" width="0" style="45" hidden="1"/>
    <col min="16129" max="16129" width="11" style="45" bestFit="1" customWidth="1"/>
    <col min="16130" max="16136" width="10.42578125" style="45" customWidth="1"/>
    <col min="16137" max="16137" width="11.85546875" style="45" customWidth="1"/>
    <col min="16138" max="16138" width="14" style="45" customWidth="1"/>
    <col min="16139" max="16139" width="13.5703125" style="45" bestFit="1" customWidth="1"/>
    <col min="16140" max="16140" width="9.85546875" style="45" customWidth="1"/>
    <col min="16141" max="16141" width="12.42578125" style="45" bestFit="1" customWidth="1"/>
    <col min="16142" max="16142" width="11.42578125" style="45" customWidth="1"/>
    <col min="16143" max="16143" width="12.5703125" style="45" customWidth="1"/>
    <col min="16144" max="16144" width="12.42578125" style="45" customWidth="1"/>
    <col min="16145" max="16145" width="8.85546875" style="45" customWidth="1"/>
    <col min="16146" max="16146" width="12.5703125" style="45" customWidth="1"/>
    <col min="16147" max="16147" width="11.5703125" style="45" customWidth="1"/>
    <col min="16148" max="16155" width="8.85546875" style="45" customWidth="1"/>
    <col min="16156" max="16384" width="0" style="45" hidden="1"/>
  </cols>
  <sheetData>
    <row r="1" spans="1:18" ht="18.75" x14ac:dyDescent="0.3">
      <c r="A1" s="162" t="s">
        <v>135</v>
      </c>
      <c r="B1" s="163" t="s">
        <v>80</v>
      </c>
      <c r="C1" s="163" t="s">
        <v>136</v>
      </c>
      <c r="D1" s="163" t="s">
        <v>81</v>
      </c>
      <c r="E1" s="163" t="s">
        <v>137</v>
      </c>
      <c r="F1" s="163" t="s">
        <v>138</v>
      </c>
      <c r="G1" s="163" t="s">
        <v>139</v>
      </c>
      <c r="H1" s="163" t="s">
        <v>140</v>
      </c>
    </row>
    <row r="2" spans="1:18" x14ac:dyDescent="0.25">
      <c r="A2" s="164">
        <v>38835</v>
      </c>
      <c r="B2" s="165">
        <v>1802</v>
      </c>
      <c r="C2" s="165">
        <v>11900</v>
      </c>
      <c r="D2" s="165">
        <v>1090</v>
      </c>
      <c r="J2" s="166"/>
    </row>
    <row r="3" spans="1:18" x14ac:dyDescent="0.25">
      <c r="A3" s="164">
        <v>38868</v>
      </c>
      <c r="B3" s="167">
        <v>1817</v>
      </c>
      <c r="C3" s="167">
        <v>11668</v>
      </c>
      <c r="D3" s="167">
        <v>1082</v>
      </c>
      <c r="E3" s="167">
        <f t="shared" ref="E3:G34" si="0">100*(B3-B2)/B2</f>
        <v>0.83240843507214202</v>
      </c>
      <c r="F3" s="167">
        <f t="shared" si="0"/>
        <v>-1.9495798319327731</v>
      </c>
      <c r="G3" s="167">
        <f t="shared" si="0"/>
        <v>-0.73394495412844041</v>
      </c>
      <c r="H3" s="167">
        <f t="shared" ref="H3:H66" si="1">E3*$K$12+F3*$K$13+G3*$K$14</f>
        <v>0.10307033226035767</v>
      </c>
      <c r="J3" s="168"/>
      <c r="K3" s="168" t="str">
        <f>B1</f>
        <v>AGSF</v>
      </c>
      <c r="L3" s="168" t="str">
        <f>C1</f>
        <v>AGEF</v>
      </c>
      <c r="M3" s="168" t="str">
        <f>D1</f>
        <v>AGBD</v>
      </c>
    </row>
    <row r="4" spans="1:18" x14ac:dyDescent="0.25">
      <c r="A4" s="164">
        <v>38898</v>
      </c>
      <c r="B4" s="167">
        <v>1837</v>
      </c>
      <c r="C4" s="167">
        <v>11924</v>
      </c>
      <c r="D4" s="167">
        <v>1036</v>
      </c>
      <c r="E4" s="167">
        <f t="shared" si="0"/>
        <v>1.1007154650522839</v>
      </c>
      <c r="F4" s="167">
        <f t="shared" si="0"/>
        <v>2.1940349674322936</v>
      </c>
      <c r="G4" s="167">
        <f t="shared" si="0"/>
        <v>-4.251386321626617</v>
      </c>
      <c r="H4" s="167">
        <f t="shared" si="1"/>
        <v>1.3873448528617824</v>
      </c>
      <c r="J4" s="169" t="str">
        <f>K3</f>
        <v>AGSF</v>
      </c>
      <c r="K4" s="170">
        <f>VARP($E$3:$E$159)</f>
        <v>1.979918149616855</v>
      </c>
      <c r="L4" s="170">
        <f>K5</f>
        <v>2.3833286801175513</v>
      </c>
      <c r="M4" s="170">
        <f>K6</f>
        <v>-0.52353170666103832</v>
      </c>
    </row>
    <row r="5" spans="1:18" x14ac:dyDescent="0.25">
      <c r="A5" s="164">
        <v>38929</v>
      </c>
      <c r="B5" s="167">
        <v>1823</v>
      </c>
      <c r="C5" s="167">
        <v>11864</v>
      </c>
      <c r="D5" s="167">
        <v>1025</v>
      </c>
      <c r="E5" s="167">
        <f t="shared" si="0"/>
        <v>-0.76211213935764832</v>
      </c>
      <c r="F5" s="167">
        <f t="shared" si="0"/>
        <v>-0.50318685005031871</v>
      </c>
      <c r="G5" s="167">
        <f t="shared" si="0"/>
        <v>-1.0617760617760619</v>
      </c>
      <c r="H5" s="167">
        <f t="shared" si="1"/>
        <v>-0.69423116701379739</v>
      </c>
      <c r="J5" s="169" t="str">
        <f>L3</f>
        <v>AGEF</v>
      </c>
      <c r="K5" s="209">
        <v>2.3833286801175513</v>
      </c>
      <c r="L5" s="170">
        <f>VARP($F$3:$F$159)</f>
        <v>12.667106618257023</v>
      </c>
      <c r="M5" s="170">
        <f>L6</f>
        <v>5.9836126057755172E-2</v>
      </c>
    </row>
    <row r="6" spans="1:18" ht="15.75" thickBot="1" x14ac:dyDescent="0.3">
      <c r="A6" s="164">
        <v>38960</v>
      </c>
      <c r="B6" s="167">
        <v>1867</v>
      </c>
      <c r="C6" s="167">
        <v>12284</v>
      </c>
      <c r="D6" s="167">
        <v>1026</v>
      </c>
      <c r="E6" s="167">
        <f t="shared" si="0"/>
        <v>2.4136039495337358</v>
      </c>
      <c r="F6" s="167">
        <f t="shared" si="0"/>
        <v>3.54012137559002</v>
      </c>
      <c r="G6" s="167">
        <f t="shared" si="0"/>
        <v>9.7560975609756101E-2</v>
      </c>
      <c r="H6" s="167">
        <f t="shared" si="1"/>
        <v>2.7089366563165922</v>
      </c>
      <c r="J6" s="171" t="str">
        <f>M3</f>
        <v>AGBD</v>
      </c>
      <c r="K6" s="210">
        <v>-0.52353170666103832</v>
      </c>
      <c r="L6" s="210">
        <v>5.9836126057755172E-2</v>
      </c>
      <c r="M6" s="172">
        <f>VARP($G$3:$G$159)</f>
        <v>2.5939816502201061</v>
      </c>
    </row>
    <row r="7" spans="1:18" x14ac:dyDescent="0.25">
      <c r="A7" s="164">
        <v>38989</v>
      </c>
      <c r="B7" s="167">
        <v>1910</v>
      </c>
      <c r="C7" s="167">
        <v>12694</v>
      </c>
      <c r="D7" s="167">
        <v>1042</v>
      </c>
      <c r="E7" s="167">
        <f t="shared" si="0"/>
        <v>2.3031601499732193</v>
      </c>
      <c r="F7" s="167">
        <f t="shared" si="0"/>
        <v>3.3376750244220124</v>
      </c>
      <c r="G7" s="167">
        <f t="shared" si="0"/>
        <v>1.5594541910331383</v>
      </c>
      <c r="H7" s="167">
        <f t="shared" si="1"/>
        <v>2.5743730682625965</v>
      </c>
      <c r="J7" s="173" t="s">
        <v>150</v>
      </c>
      <c r="K7" s="46"/>
      <c r="L7" s="46"/>
    </row>
    <row r="8" spans="1:18" x14ac:dyDescent="0.25">
      <c r="A8" s="164">
        <v>39021</v>
      </c>
      <c r="B8" s="167">
        <v>1914</v>
      </c>
      <c r="C8" s="167">
        <v>13149</v>
      </c>
      <c r="D8" s="167">
        <v>1044</v>
      </c>
      <c r="E8" s="167">
        <f t="shared" si="0"/>
        <v>0.20942408376963351</v>
      </c>
      <c r="F8" s="167">
        <f t="shared" si="0"/>
        <v>3.5843705687726484</v>
      </c>
      <c r="G8" s="167">
        <f t="shared" si="0"/>
        <v>0.19193857965451055</v>
      </c>
      <c r="H8" s="167">
        <f t="shared" si="1"/>
        <v>1.094214690056909</v>
      </c>
      <c r="J8" s="168" t="s">
        <v>80</v>
      </c>
      <c r="K8" s="168" t="s">
        <v>136</v>
      </c>
      <c r="L8" s="174" t="s">
        <v>81</v>
      </c>
    </row>
    <row r="9" spans="1:18" x14ac:dyDescent="0.25">
      <c r="A9" s="164">
        <v>39051</v>
      </c>
      <c r="B9" s="167">
        <v>1946</v>
      </c>
      <c r="C9" s="167">
        <v>13970</v>
      </c>
      <c r="D9" s="167">
        <v>1058</v>
      </c>
      <c r="E9" s="167">
        <f t="shared" si="0"/>
        <v>1.6718913270637408</v>
      </c>
      <c r="F9" s="167">
        <f t="shared" si="0"/>
        <v>6.2438208228762644</v>
      </c>
      <c r="G9" s="167">
        <f t="shared" si="0"/>
        <v>1.3409961685823755</v>
      </c>
      <c r="H9" s="167">
        <f t="shared" si="1"/>
        <v>2.8704881980657717</v>
      </c>
      <c r="J9" s="175">
        <f>AVERAGE(E3:E159)</f>
        <v>0.44983843445376476</v>
      </c>
      <c r="K9" s="176">
        <f>AVERAGE(F3:F159)</f>
        <v>0.80844553126272833</v>
      </c>
      <c r="L9" s="177">
        <f>AVERAGE(G3:G159)</f>
        <v>4.2678869196252141E-2</v>
      </c>
    </row>
    <row r="10" spans="1:18" x14ac:dyDescent="0.25">
      <c r="A10" s="164">
        <v>39080</v>
      </c>
      <c r="B10" s="167">
        <v>1982</v>
      </c>
      <c r="C10" s="167">
        <v>14932</v>
      </c>
      <c r="D10" s="167">
        <v>1074</v>
      </c>
      <c r="E10" s="167">
        <f t="shared" si="0"/>
        <v>1.8499486125385407</v>
      </c>
      <c r="F10" s="167">
        <f t="shared" si="0"/>
        <v>6.8861846814602723</v>
      </c>
      <c r="G10" s="167">
        <f t="shared" si="0"/>
        <v>1.5122873345935728</v>
      </c>
      <c r="H10" s="167">
        <f t="shared" si="1"/>
        <v>3.1702701090921299</v>
      </c>
    </row>
    <row r="11" spans="1:18" x14ac:dyDescent="0.25">
      <c r="A11" s="164">
        <v>39113</v>
      </c>
      <c r="B11" s="167">
        <v>2009</v>
      </c>
      <c r="C11" s="167">
        <v>15280</v>
      </c>
      <c r="D11" s="167">
        <v>1059</v>
      </c>
      <c r="E11" s="167">
        <f t="shared" si="0"/>
        <v>1.3622603430877902</v>
      </c>
      <c r="F11" s="167">
        <f t="shared" si="0"/>
        <v>2.330565229038307</v>
      </c>
      <c r="G11" s="167">
        <f t="shared" si="0"/>
        <v>-1.3966480446927374</v>
      </c>
      <c r="H11" s="167">
        <f t="shared" si="1"/>
        <v>1.6161153584234911</v>
      </c>
      <c r="J11" s="178" t="s">
        <v>141</v>
      </c>
      <c r="K11" s="179"/>
      <c r="N11" s="169" t="s">
        <v>142</v>
      </c>
    </row>
    <row r="12" spans="1:18" x14ac:dyDescent="0.25">
      <c r="A12" s="164">
        <v>39141</v>
      </c>
      <c r="B12" s="167">
        <v>2029</v>
      </c>
      <c r="C12" s="167">
        <v>15394</v>
      </c>
      <c r="D12" s="167">
        <v>1073</v>
      </c>
      <c r="E12" s="167">
        <f t="shared" si="0"/>
        <v>0.99552015928322546</v>
      </c>
      <c r="F12" s="167">
        <f t="shared" si="0"/>
        <v>0.74607329842931935</v>
      </c>
      <c r="G12" s="167">
        <f t="shared" si="0"/>
        <v>1.3220018885741265</v>
      </c>
      <c r="H12" s="167">
        <f t="shared" si="1"/>
        <v>0.93012409414987718</v>
      </c>
      <c r="J12" s="180" t="str">
        <f>B1</f>
        <v>AGSF</v>
      </c>
      <c r="K12" s="206">
        <v>0.73783566934822653</v>
      </c>
      <c r="N12" s="182" t="str">
        <f>K3</f>
        <v>AGSF</v>
      </c>
      <c r="O12" s="182" t="str">
        <f>L3</f>
        <v>AGEF</v>
      </c>
      <c r="P12" s="182" t="str">
        <f>M3</f>
        <v>AGBD</v>
      </c>
    </row>
    <row r="13" spans="1:18" x14ac:dyDescent="0.25">
      <c r="A13" s="164">
        <v>39171</v>
      </c>
      <c r="B13" s="167">
        <v>2069</v>
      </c>
      <c r="C13" s="167">
        <v>16377</v>
      </c>
      <c r="D13" s="167">
        <v>1071</v>
      </c>
      <c r="E13" s="167">
        <f t="shared" si="0"/>
        <v>1.9714144898965007</v>
      </c>
      <c r="F13" s="167">
        <f t="shared" si="0"/>
        <v>6.385604781083539</v>
      </c>
      <c r="G13" s="167">
        <f t="shared" si="0"/>
        <v>-0.1863932898415657</v>
      </c>
      <c r="H13" s="167">
        <f t="shared" si="1"/>
        <v>3.128657768693881</v>
      </c>
      <c r="J13" s="180" t="str">
        <f>C1</f>
        <v>AGEF</v>
      </c>
      <c r="K13" s="206">
        <v>0.26216433624854535</v>
      </c>
      <c r="N13" s="183">
        <f t="array" ref="N13:P13">TRANSPOSE(K12:K14)</f>
        <v>0.73783566934822653</v>
      </c>
      <c r="O13" s="183">
        <v>0.26216433624854535</v>
      </c>
      <c r="P13" s="183">
        <v>0</v>
      </c>
    </row>
    <row r="14" spans="1:18" x14ac:dyDescent="0.25">
      <c r="A14" s="164">
        <v>39202</v>
      </c>
      <c r="B14" s="167">
        <v>2091</v>
      </c>
      <c r="C14" s="167">
        <v>17374</v>
      </c>
      <c r="D14" s="167">
        <v>1063</v>
      </c>
      <c r="E14" s="167">
        <f t="shared" si="0"/>
        <v>1.0633156114064766</v>
      </c>
      <c r="F14" s="167">
        <f t="shared" si="0"/>
        <v>6.0878060694876961</v>
      </c>
      <c r="G14" s="167">
        <f t="shared" si="0"/>
        <v>-0.7469654528478058</v>
      </c>
      <c r="H14" s="167">
        <f t="shared" si="1"/>
        <v>2.3805578232876239</v>
      </c>
      <c r="J14" s="184" t="str">
        <f>D1</f>
        <v>AGBD</v>
      </c>
      <c r="K14" s="207">
        <v>0</v>
      </c>
    </row>
    <row r="15" spans="1:18" ht="15.75" thickBot="1" x14ac:dyDescent="0.3">
      <c r="A15" s="164">
        <v>39233</v>
      </c>
      <c r="B15" s="167">
        <v>2077</v>
      </c>
      <c r="C15" s="167">
        <v>16973</v>
      </c>
      <c r="D15" s="167">
        <v>1060</v>
      </c>
      <c r="E15" s="167">
        <f t="shared" si="0"/>
        <v>-0.66953610712577716</v>
      </c>
      <c r="F15" s="167">
        <f t="shared" si="0"/>
        <v>-2.3080465062737425</v>
      </c>
      <c r="G15" s="167">
        <f t="shared" si="0"/>
        <v>-0.28222013170272814</v>
      </c>
      <c r="H15" s="167">
        <f t="shared" si="1"/>
        <v>-1.0990951021019835</v>
      </c>
      <c r="J15" s="185" t="s">
        <v>143</v>
      </c>
      <c r="K15" s="186">
        <f>SUM(K12:K14)</f>
        <v>1.0000000055967719</v>
      </c>
    </row>
    <row r="16" spans="1:18" ht="15.75" thickTop="1" x14ac:dyDescent="0.25">
      <c r="A16" s="164">
        <v>39262</v>
      </c>
      <c r="B16" s="167">
        <v>2074</v>
      </c>
      <c r="C16" s="167">
        <v>16634</v>
      </c>
      <c r="D16" s="167">
        <v>1045</v>
      </c>
      <c r="E16" s="167">
        <f t="shared" si="0"/>
        <v>-0.14443909484833894</v>
      </c>
      <c r="F16" s="167">
        <f t="shared" si="0"/>
        <v>-1.9972898132327814</v>
      </c>
      <c r="G16" s="167">
        <f t="shared" si="0"/>
        <v>-1.4150943396226414</v>
      </c>
      <c r="H16" s="167">
        <f t="shared" si="1"/>
        <v>-0.63019047440962939</v>
      </c>
      <c r="Q16" s="273" t="s">
        <v>171</v>
      </c>
      <c r="R16" s="274"/>
    </row>
    <row r="17" spans="1:19" x14ac:dyDescent="0.25">
      <c r="A17" s="164">
        <v>39294</v>
      </c>
      <c r="B17" s="167">
        <v>2074</v>
      </c>
      <c r="C17" s="167">
        <v>16454</v>
      </c>
      <c r="D17" s="167">
        <v>1029</v>
      </c>
      <c r="E17" s="167">
        <f t="shared" si="0"/>
        <v>0</v>
      </c>
      <c r="F17" s="167">
        <f t="shared" si="0"/>
        <v>-1.0821209570758688</v>
      </c>
      <c r="G17" s="167">
        <f t="shared" si="0"/>
        <v>-1.5311004784688995</v>
      </c>
      <c r="H17" s="167">
        <f t="shared" si="1"/>
        <v>-0.28369352245243579</v>
      </c>
      <c r="J17" s="187" t="s">
        <v>144</v>
      </c>
      <c r="K17" s="188"/>
      <c r="Q17" s="267" t="s">
        <v>170</v>
      </c>
      <c r="R17" s="268">
        <v>0.2</v>
      </c>
    </row>
    <row r="18" spans="1:19" x14ac:dyDescent="0.25">
      <c r="A18" s="164">
        <v>39325</v>
      </c>
      <c r="B18" s="167">
        <v>2077</v>
      </c>
      <c r="C18" s="167">
        <v>16525</v>
      </c>
      <c r="D18" s="167">
        <v>1036</v>
      </c>
      <c r="E18" s="167">
        <f t="shared" si="0"/>
        <v>0.14464802314368369</v>
      </c>
      <c r="F18" s="167">
        <f t="shared" si="0"/>
        <v>0.43150601677403672</v>
      </c>
      <c r="G18" s="167">
        <f t="shared" si="0"/>
        <v>0.68027210884353739</v>
      </c>
      <c r="H18" s="167">
        <f t="shared" si="1"/>
        <v>0.21985195945093663</v>
      </c>
      <c r="J18" s="189" t="s">
        <v>145</v>
      </c>
      <c r="K18" s="181">
        <f>MMULT(J9:L9,K12:K14)</f>
        <v>0.54385242848034765</v>
      </c>
      <c r="L18" s="190"/>
      <c r="M18" s="208"/>
      <c r="N18" s="208"/>
      <c r="O18" s="208"/>
      <c r="Q18" s="269" t="s">
        <v>169</v>
      </c>
      <c r="R18" s="270">
        <f>K18-R17</f>
        <v>0.34385242848034764</v>
      </c>
    </row>
    <row r="19" spans="1:19" x14ac:dyDescent="0.25">
      <c r="A19" s="164">
        <v>39353</v>
      </c>
      <c r="B19" s="167">
        <v>2068</v>
      </c>
      <c r="C19" s="167">
        <v>16846</v>
      </c>
      <c r="D19" s="167">
        <v>1053</v>
      </c>
      <c r="E19" s="167">
        <f t="shared" si="0"/>
        <v>-0.43331728454501683</v>
      </c>
      <c r="F19" s="167">
        <f t="shared" si="0"/>
        <v>1.9425113464447807</v>
      </c>
      <c r="G19" s="167">
        <f t="shared" si="0"/>
        <v>1.640926640926641</v>
      </c>
      <c r="H19" s="167">
        <f t="shared" si="1"/>
        <v>0.18954024911353556</v>
      </c>
      <c r="J19" s="180" t="s">
        <v>146</v>
      </c>
      <c r="K19" s="181">
        <f>MMULT(MMULT(N13:P13,K4:M6),K12:K14)</f>
        <v>2.8705169081722435</v>
      </c>
      <c r="L19" s="190"/>
      <c r="M19" s="208"/>
      <c r="N19" s="208"/>
      <c r="O19" s="208"/>
      <c r="Q19" s="271" t="s">
        <v>115</v>
      </c>
      <c r="R19" s="272">
        <f>R18/K20</f>
        <v>0.20295139520606428</v>
      </c>
    </row>
    <row r="20" spans="1:19" ht="15.75" thickBot="1" x14ac:dyDescent="0.3">
      <c r="A20" s="164">
        <v>39386</v>
      </c>
      <c r="B20" s="167">
        <v>2070</v>
      </c>
      <c r="C20" s="167">
        <v>17584</v>
      </c>
      <c r="D20" s="167">
        <v>1044</v>
      </c>
      <c r="E20" s="167">
        <f t="shared" si="0"/>
        <v>9.6711798839458407E-2</v>
      </c>
      <c r="F20" s="167">
        <f t="shared" si="0"/>
        <v>4.3808619256796861</v>
      </c>
      <c r="G20" s="167">
        <f t="shared" si="0"/>
        <v>-0.85470085470085466</v>
      </c>
      <c r="H20" s="167">
        <f t="shared" si="1"/>
        <v>1.219863173772922</v>
      </c>
      <c r="J20" s="180" t="s">
        <v>147</v>
      </c>
      <c r="K20" s="181">
        <f>SQRT(K19)</f>
        <v>1.6942599883643135</v>
      </c>
      <c r="L20" s="190"/>
      <c r="M20" s="208"/>
      <c r="N20" s="208"/>
      <c r="O20" s="208"/>
    </row>
    <row r="21" spans="1:19" ht="15.75" thickBot="1" x14ac:dyDescent="0.3">
      <c r="A21" s="164">
        <v>39416</v>
      </c>
      <c r="B21" s="167">
        <v>2113</v>
      </c>
      <c r="C21" s="167">
        <v>17767</v>
      </c>
      <c r="D21" s="167">
        <v>1037</v>
      </c>
      <c r="E21" s="167">
        <f t="shared" si="0"/>
        <v>2.0772946859903381</v>
      </c>
      <c r="F21" s="167">
        <f t="shared" si="0"/>
        <v>1.0407188353048227</v>
      </c>
      <c r="G21" s="167">
        <f t="shared" si="0"/>
        <v>-0.67049808429118773</v>
      </c>
      <c r="H21" s="167">
        <f t="shared" si="1"/>
        <v>1.805541477750243</v>
      </c>
      <c r="J21" s="191" t="s">
        <v>148</v>
      </c>
      <c r="K21" s="192">
        <f>K18/K20</f>
        <v>0.32099703245981637</v>
      </c>
      <c r="L21" s="193"/>
      <c r="M21" s="208"/>
      <c r="N21" s="208"/>
      <c r="O21" s="208"/>
      <c r="Q21" s="292" t="s">
        <v>167</v>
      </c>
      <c r="R21" s="293"/>
    </row>
    <row r="22" spans="1:19" x14ac:dyDescent="0.25">
      <c r="A22" s="164">
        <v>39447</v>
      </c>
      <c r="B22" s="167">
        <v>2115</v>
      </c>
      <c r="C22" s="167">
        <v>17149</v>
      </c>
      <c r="D22" s="167">
        <v>1046</v>
      </c>
      <c r="E22" s="167">
        <f t="shared" si="0"/>
        <v>9.4652153336488409E-2</v>
      </c>
      <c r="F22" s="167">
        <f t="shared" si="0"/>
        <v>-3.4783587549952157</v>
      </c>
      <c r="G22" s="167">
        <f t="shared" si="0"/>
        <v>0.86788813886210225</v>
      </c>
      <c r="H22" s="167">
        <f t="shared" si="1"/>
        <v>-0.84206387932535831</v>
      </c>
      <c r="J22" s="194" t="s">
        <v>149</v>
      </c>
      <c r="K22" s="46"/>
      <c r="L22" s="46"/>
      <c r="M22" s="46"/>
      <c r="N22" s="46"/>
      <c r="Q22" s="264" t="s">
        <v>145</v>
      </c>
      <c r="R22" s="265" t="s">
        <v>168</v>
      </c>
    </row>
    <row r="23" spans="1:19" x14ac:dyDescent="0.25">
      <c r="A23" s="164">
        <v>39478</v>
      </c>
      <c r="B23" s="167">
        <v>2098</v>
      </c>
      <c r="C23" s="167">
        <v>15414</v>
      </c>
      <c r="D23" s="167">
        <v>1030</v>
      </c>
      <c r="E23" s="167">
        <f t="shared" si="0"/>
        <v>-0.80378250591016553</v>
      </c>
      <c r="F23" s="167">
        <f t="shared" si="0"/>
        <v>-10.117208000466499</v>
      </c>
      <c r="G23" s="167">
        <f t="shared" si="0"/>
        <v>-1.5296367112810707</v>
      </c>
      <c r="H23" s="167">
        <f t="shared" si="1"/>
        <v>-3.2454305233893943</v>
      </c>
      <c r="K23" s="195" t="s">
        <v>147</v>
      </c>
      <c r="L23" s="195" t="s">
        <v>145</v>
      </c>
      <c r="M23" s="195" t="str">
        <f>B1</f>
        <v>AGSF</v>
      </c>
      <c r="N23" s="195" t="str">
        <f>C1</f>
        <v>AGEF</v>
      </c>
      <c r="O23" s="195" t="str">
        <f>D1</f>
        <v>AGBD</v>
      </c>
      <c r="Q23" s="266">
        <v>0.54385242848034765</v>
      </c>
      <c r="R23" s="261">
        <v>1.6942599883643135</v>
      </c>
    </row>
    <row r="24" spans="1:19" x14ac:dyDescent="0.25">
      <c r="A24" s="164">
        <v>39507</v>
      </c>
      <c r="B24" s="167">
        <v>2138</v>
      </c>
      <c r="C24" s="167">
        <v>16862</v>
      </c>
      <c r="D24" s="167">
        <v>1027</v>
      </c>
      <c r="E24" s="167">
        <f t="shared" si="0"/>
        <v>1.9065776930409915</v>
      </c>
      <c r="F24" s="167">
        <f t="shared" si="0"/>
        <v>9.3940573504606206</v>
      </c>
      <c r="G24" s="167">
        <f t="shared" si="0"/>
        <v>-0.29126213592233008</v>
      </c>
      <c r="H24" s="167">
        <f t="shared" si="1"/>
        <v>3.8695278382735747</v>
      </c>
      <c r="K24" s="196">
        <v>0.93002054939337875</v>
      </c>
      <c r="L24" s="196">
        <v>0.26849877051154736</v>
      </c>
      <c r="M24" s="196">
        <v>0.55462261274567759</v>
      </c>
      <c r="N24" s="196">
        <v>0</v>
      </c>
      <c r="O24" s="196">
        <v>0.44537737384673542</v>
      </c>
      <c r="P24" s="197"/>
      <c r="Q24" s="167">
        <f>R17</f>
        <v>0.2</v>
      </c>
      <c r="R24" s="262">
        <v>0</v>
      </c>
    </row>
    <row r="25" spans="1:19" x14ac:dyDescent="0.25">
      <c r="A25" s="164">
        <v>39538</v>
      </c>
      <c r="B25" s="167">
        <v>2175</v>
      </c>
      <c r="C25" s="167">
        <v>16854</v>
      </c>
      <c r="D25" s="167">
        <v>1029</v>
      </c>
      <c r="E25" s="167">
        <f t="shared" si="0"/>
        <v>1.7305893358278766</v>
      </c>
      <c r="F25" s="167">
        <f t="shared" si="0"/>
        <v>-4.7443956825999285E-2</v>
      </c>
      <c r="G25" s="167">
        <f t="shared" si="0"/>
        <v>0.19474196689386564</v>
      </c>
      <c r="H25" s="167">
        <f t="shared" si="1"/>
        <v>1.2644524275171714</v>
      </c>
      <c r="K25" s="167">
        <f>K24+0.09</f>
        <v>1.0200205493933787</v>
      </c>
      <c r="L25" s="167">
        <v>0.34336144335326202</v>
      </c>
      <c r="M25" s="167">
        <v>0.67895869105133522</v>
      </c>
      <c r="N25" s="167">
        <v>3.1652002994394746E-2</v>
      </c>
      <c r="O25" s="167">
        <v>0.28938930595433215</v>
      </c>
      <c r="P25" s="170"/>
      <c r="Q25" s="167">
        <f>$R$17+($R$19*R25)</f>
        <v>0.2811805580824257</v>
      </c>
      <c r="R25" s="262">
        <v>0.4</v>
      </c>
    </row>
    <row r="26" spans="1:19" x14ac:dyDescent="0.25">
      <c r="A26" s="164">
        <v>39568</v>
      </c>
      <c r="B26" s="167">
        <v>2150</v>
      </c>
      <c r="C26" s="167">
        <v>17314</v>
      </c>
      <c r="D26" s="167">
        <v>1006</v>
      </c>
      <c r="E26" s="167">
        <f t="shared" si="0"/>
        <v>-1.1494252873563218</v>
      </c>
      <c r="F26" s="167">
        <f t="shared" si="0"/>
        <v>2.7293224160436691</v>
      </c>
      <c r="G26" s="167">
        <f t="shared" si="0"/>
        <v>-2.2351797862001943</v>
      </c>
      <c r="H26" s="167">
        <f t="shared" si="1"/>
        <v>-0.13255597665196472</v>
      </c>
      <c r="K26" s="167">
        <f t="shared" ref="K26:K53" si="2">K25+0.09</f>
        <v>1.1100205493933788</v>
      </c>
      <c r="L26" s="167">
        <v>0.38066794131846127</v>
      </c>
      <c r="M26" s="167">
        <v>0.70975747191862304</v>
      </c>
      <c r="N26" s="167">
        <v>6.3994073971970308E-2</v>
      </c>
      <c r="O26" s="167">
        <v>0.2262484541094183</v>
      </c>
      <c r="P26" s="170"/>
      <c r="Q26" s="167">
        <f t="shared" ref="Q26:Q33" si="3">$R$17+($R$19*R26)</f>
        <v>0.36236111616485145</v>
      </c>
      <c r="R26" s="262">
        <f>R25+0.4</f>
        <v>0.8</v>
      </c>
    </row>
    <row r="27" spans="1:19" x14ac:dyDescent="0.25">
      <c r="A27" s="164">
        <v>39598</v>
      </c>
      <c r="B27" s="167">
        <v>2154</v>
      </c>
      <c r="C27" s="167">
        <v>17807</v>
      </c>
      <c r="D27" s="167">
        <v>994</v>
      </c>
      <c r="E27" s="167">
        <f t="shared" si="0"/>
        <v>0.18604651162790697</v>
      </c>
      <c r="F27" s="167">
        <f t="shared" si="0"/>
        <v>2.8474067228832158</v>
      </c>
      <c r="G27" s="167">
        <f t="shared" si="0"/>
        <v>-1.1928429423459244</v>
      </c>
      <c r="H27" s="167">
        <f t="shared" si="1"/>
        <v>0.8837602459712034</v>
      </c>
      <c r="K27" s="167">
        <f t="shared" si="2"/>
        <v>1.2000205493933789</v>
      </c>
      <c r="L27" s="167">
        <v>0.41165510129060595</v>
      </c>
      <c r="M27" s="167">
        <v>0.73562562218606831</v>
      </c>
      <c r="N27" s="167">
        <v>9.0705468145939952E-2</v>
      </c>
      <c r="O27" s="167">
        <v>0.17366890965612419</v>
      </c>
      <c r="P27" s="170"/>
      <c r="Q27" s="167">
        <f t="shared" si="3"/>
        <v>0.4435416742472772</v>
      </c>
      <c r="R27" s="262">
        <f t="shared" ref="R27:R33" si="4">R26+0.4</f>
        <v>1.2000000000000002</v>
      </c>
      <c r="S27" s="169"/>
    </row>
    <row r="28" spans="1:19" x14ac:dyDescent="0.25">
      <c r="A28" s="164">
        <v>39629</v>
      </c>
      <c r="B28" s="167">
        <v>2120</v>
      </c>
      <c r="C28" s="167">
        <v>16472</v>
      </c>
      <c r="D28" s="167">
        <v>986</v>
      </c>
      <c r="E28" s="167">
        <f t="shared" si="0"/>
        <v>-1.5784586815227484</v>
      </c>
      <c r="F28" s="167">
        <f t="shared" si="0"/>
        <v>-7.4970517212332233</v>
      </c>
      <c r="G28" s="167">
        <f t="shared" si="0"/>
        <v>-0.8048289738430584</v>
      </c>
      <c r="H28" s="167">
        <f t="shared" si="1"/>
        <v>-3.1301027061379787</v>
      </c>
      <c r="K28" s="167">
        <f t="shared" si="2"/>
        <v>1.290020549393379</v>
      </c>
      <c r="L28" s="167">
        <v>0.43945456277766737</v>
      </c>
      <c r="M28" s="167">
        <v>0.75850664819054325</v>
      </c>
      <c r="N28" s="167">
        <v>0.11484236754549895</v>
      </c>
      <c r="O28" s="167">
        <v>0.12665098426612301</v>
      </c>
      <c r="P28" s="170"/>
      <c r="Q28" s="167">
        <f t="shared" si="3"/>
        <v>0.52472223232970294</v>
      </c>
      <c r="R28" s="262">
        <f t="shared" si="4"/>
        <v>1.6</v>
      </c>
    </row>
    <row r="29" spans="1:19" x14ac:dyDescent="0.25">
      <c r="A29" s="164">
        <v>39660</v>
      </c>
      <c r="B29" s="167">
        <v>2104</v>
      </c>
      <c r="C29" s="167">
        <v>15903</v>
      </c>
      <c r="D29" s="167">
        <v>1016</v>
      </c>
      <c r="E29" s="167">
        <f t="shared" si="0"/>
        <v>-0.75471698113207553</v>
      </c>
      <c r="F29" s="167">
        <f t="shared" si="0"/>
        <v>-3.4543467702768336</v>
      </c>
      <c r="G29" s="167">
        <f t="shared" si="0"/>
        <v>3.0425963488843815</v>
      </c>
      <c r="H29" s="167">
        <f t="shared" si="1"/>
        <v>-1.4624636371439901</v>
      </c>
      <c r="K29" s="167">
        <f t="shared" si="2"/>
        <v>1.380020549393379</v>
      </c>
      <c r="L29" s="167">
        <v>0.46530684383208165</v>
      </c>
      <c r="M29" s="167">
        <v>0.77988068049413395</v>
      </c>
      <c r="N29" s="167">
        <v>0.13723775272454714</v>
      </c>
      <c r="O29" s="167">
        <v>8.288156677485127E-2</v>
      </c>
      <c r="P29" s="170"/>
      <c r="Q29" s="167">
        <f t="shared" si="3"/>
        <v>0.60590279041212858</v>
      </c>
      <c r="R29" s="262">
        <f t="shared" si="4"/>
        <v>2</v>
      </c>
    </row>
    <row r="30" spans="1:19" x14ac:dyDescent="0.25">
      <c r="A30" s="164">
        <v>39689</v>
      </c>
      <c r="B30" s="167">
        <v>2123</v>
      </c>
      <c r="C30" s="167">
        <v>16079</v>
      </c>
      <c r="D30" s="167">
        <v>1024</v>
      </c>
      <c r="E30" s="167">
        <f t="shared" si="0"/>
        <v>0.90304182509505704</v>
      </c>
      <c r="F30" s="167">
        <f t="shared" si="0"/>
        <v>1.1067094258944854</v>
      </c>
      <c r="G30" s="167">
        <f t="shared" si="0"/>
        <v>0.78740157480314965</v>
      </c>
      <c r="H30" s="167">
        <f t="shared" si="1"/>
        <v>0.956436211528092</v>
      </c>
      <c r="K30" s="167">
        <f t="shared" si="2"/>
        <v>1.4700205493933791</v>
      </c>
      <c r="L30" s="167">
        <v>0.48984274075057432</v>
      </c>
      <c r="M30" s="167">
        <v>0.80009565133553151</v>
      </c>
      <c r="N30" s="167">
        <v>0.15853037224775723</v>
      </c>
      <c r="O30" s="167">
        <v>4.1373976412020244E-2</v>
      </c>
      <c r="P30" s="170"/>
      <c r="Q30" s="167">
        <f t="shared" si="3"/>
        <v>0.68708334849455421</v>
      </c>
      <c r="R30" s="262">
        <f t="shared" si="4"/>
        <v>2.4</v>
      </c>
    </row>
    <row r="31" spans="1:19" x14ac:dyDescent="0.25">
      <c r="A31" s="164">
        <v>39721</v>
      </c>
      <c r="B31" s="167">
        <v>2155</v>
      </c>
      <c r="C31" s="167">
        <v>14905</v>
      </c>
      <c r="D31" s="167">
        <v>1041</v>
      </c>
      <c r="E31" s="167">
        <f t="shared" si="0"/>
        <v>1.5073009891662741</v>
      </c>
      <c r="F31" s="167">
        <f t="shared" si="0"/>
        <v>-7.3014490950929787</v>
      </c>
      <c r="G31" s="167">
        <f t="shared" si="0"/>
        <v>1.66015625</v>
      </c>
      <c r="H31" s="167">
        <f t="shared" si="1"/>
        <v>-0.80203912141685119</v>
      </c>
      <c r="K31" s="167">
        <f t="shared" si="2"/>
        <v>1.5600205493933792</v>
      </c>
      <c r="L31" s="167">
        <v>0.51343112726811058</v>
      </c>
      <c r="M31" s="167">
        <v>0.81990131883925454</v>
      </c>
      <c r="N31" s="167">
        <v>0.1788032834565251</v>
      </c>
      <c r="O31" s="167">
        <v>1.2953977083705593E-3</v>
      </c>
      <c r="P31" s="170"/>
      <c r="Q31" s="167">
        <f t="shared" si="3"/>
        <v>0.76826390657698007</v>
      </c>
      <c r="R31" s="262">
        <f t="shared" si="4"/>
        <v>2.8</v>
      </c>
    </row>
    <row r="32" spans="1:19" x14ac:dyDescent="0.25">
      <c r="A32" s="164">
        <v>39752</v>
      </c>
      <c r="B32" s="167">
        <v>2185</v>
      </c>
      <c r="C32" s="167">
        <v>14000</v>
      </c>
      <c r="D32" s="167">
        <v>1019</v>
      </c>
      <c r="E32" s="167">
        <f t="shared" si="0"/>
        <v>1.3921113689095128</v>
      </c>
      <c r="F32" s="167">
        <f t="shared" si="0"/>
        <v>-6.071787990607179</v>
      </c>
      <c r="G32" s="167">
        <f t="shared" si="0"/>
        <v>-2.1133525456292026</v>
      </c>
      <c r="H32" s="167">
        <f t="shared" si="1"/>
        <v>-0.56465684471279376</v>
      </c>
      <c r="K32" s="167">
        <f t="shared" si="2"/>
        <v>1.6500205493933793</v>
      </c>
      <c r="L32" s="167">
        <v>0.53459699938638339</v>
      </c>
      <c r="M32" s="167">
        <v>0.76364504303762715</v>
      </c>
      <c r="N32" s="167">
        <v>0.23635495696229192</v>
      </c>
      <c r="O32" s="167">
        <v>0</v>
      </c>
      <c r="P32" s="170"/>
      <c r="Q32" s="167">
        <f t="shared" si="3"/>
        <v>0.84944446465940571</v>
      </c>
      <c r="R32" s="262">
        <f t="shared" si="4"/>
        <v>3.1999999999999997</v>
      </c>
    </row>
    <row r="33" spans="1:23" x14ac:dyDescent="0.25">
      <c r="A33" s="164">
        <v>39780</v>
      </c>
      <c r="B33" s="167">
        <v>2215</v>
      </c>
      <c r="C33" s="167">
        <v>14059</v>
      </c>
      <c r="D33" s="167">
        <v>1048</v>
      </c>
      <c r="E33" s="167">
        <f t="shared" si="0"/>
        <v>1.3729977116704806</v>
      </c>
      <c r="F33" s="167">
        <f t="shared" si="0"/>
        <v>0.42142857142857143</v>
      </c>
      <c r="G33" s="167">
        <f t="shared" si="0"/>
        <v>2.845927379784102</v>
      </c>
      <c r="H33" s="167">
        <f t="shared" si="1"/>
        <v>1.1235302273087164</v>
      </c>
      <c r="K33" s="167">
        <f t="shared" si="2"/>
        <v>1.7400205493933794</v>
      </c>
      <c r="L33" s="167">
        <v>0.55288932307586836</v>
      </c>
      <c r="M33" s="167">
        <v>0.71263566856565197</v>
      </c>
      <c r="N33" s="167">
        <v>0.28736433143432732</v>
      </c>
      <c r="O33" s="167">
        <v>0</v>
      </c>
      <c r="P33" s="170"/>
      <c r="Q33" s="201">
        <f t="shared" si="3"/>
        <v>0.93062502274183134</v>
      </c>
      <c r="R33" s="263">
        <f t="shared" si="4"/>
        <v>3.5999999999999996</v>
      </c>
      <c r="V33" s="198"/>
      <c r="W33" s="198"/>
    </row>
    <row r="34" spans="1:23" x14ac:dyDescent="0.25">
      <c r="A34" s="164">
        <v>39813</v>
      </c>
      <c r="B34" s="167">
        <v>2260</v>
      </c>
      <c r="C34" s="167">
        <v>14640</v>
      </c>
      <c r="D34" s="167">
        <v>1081</v>
      </c>
      <c r="E34" s="167">
        <f t="shared" si="0"/>
        <v>2.0316027088036117</v>
      </c>
      <c r="F34" s="167">
        <f t="shared" si="0"/>
        <v>4.132584109822889</v>
      </c>
      <c r="G34" s="167">
        <f t="shared" si="0"/>
        <v>3.1488549618320612</v>
      </c>
      <c r="H34" s="167">
        <f t="shared" si="1"/>
        <v>2.5824051146427864</v>
      </c>
      <c r="K34" s="167">
        <f t="shared" si="2"/>
        <v>1.8300205493933794</v>
      </c>
      <c r="L34" s="167">
        <v>0.56948558267763927</v>
      </c>
      <c r="M34" s="167">
        <v>0.6663558828352375</v>
      </c>
      <c r="N34" s="167">
        <v>0.33364411716479869</v>
      </c>
      <c r="O34" s="167">
        <v>0</v>
      </c>
      <c r="P34" s="170"/>
      <c r="Q34" s="170"/>
      <c r="R34" s="170"/>
      <c r="V34" s="199"/>
      <c r="W34" s="199"/>
    </row>
    <row r="35" spans="1:23" x14ac:dyDescent="0.25">
      <c r="A35" s="164">
        <v>39843</v>
      </c>
      <c r="B35" s="167">
        <v>2192</v>
      </c>
      <c r="C35" s="167">
        <v>13220</v>
      </c>
      <c r="D35" s="167">
        <v>1059</v>
      </c>
      <c r="E35" s="167">
        <f t="shared" ref="E35:G66" si="5">100*(B35-B34)/B34</f>
        <v>-3.0088495575221237</v>
      </c>
      <c r="F35" s="167">
        <f t="shared" si="5"/>
        <v>-9.6994535519125691</v>
      </c>
      <c r="G35" s="167">
        <f t="shared" si="5"/>
        <v>-2.0351526364477337</v>
      </c>
      <c r="H35" s="167">
        <f t="shared" si="1"/>
        <v>-4.7628873296532053</v>
      </c>
      <c r="K35" s="167">
        <f t="shared" si="2"/>
        <v>1.9200205493933795</v>
      </c>
      <c r="L35" s="167">
        <v>0.58495067090623376</v>
      </c>
      <c r="M35" s="167">
        <v>0.62323044453125664</v>
      </c>
      <c r="N35" s="167">
        <v>0.37676955546851976</v>
      </c>
      <c r="O35" s="167">
        <v>0</v>
      </c>
      <c r="P35" s="170"/>
      <c r="Q35" s="170"/>
      <c r="R35" s="170"/>
      <c r="V35" s="200"/>
      <c r="W35" s="200"/>
    </row>
    <row r="36" spans="1:23" x14ac:dyDescent="0.25">
      <c r="A36" s="164">
        <v>39871</v>
      </c>
      <c r="B36" s="167">
        <v>2120</v>
      </c>
      <c r="C36" s="167">
        <v>12083</v>
      </c>
      <c r="D36" s="167">
        <v>1055</v>
      </c>
      <c r="E36" s="167">
        <f t="shared" si="5"/>
        <v>-3.2846715328467155</v>
      </c>
      <c r="F36" s="167">
        <f t="shared" si="5"/>
        <v>-8.6006051437216335</v>
      </c>
      <c r="G36" s="167">
        <f t="shared" si="5"/>
        <v>-0.37771482530689332</v>
      </c>
      <c r="H36" s="167">
        <f t="shared" si="1"/>
        <v>-4.6783197578666282</v>
      </c>
      <c r="K36" s="167">
        <f t="shared" si="2"/>
        <v>2.0100205493933796</v>
      </c>
      <c r="L36" s="167">
        <v>0.59960463002052433</v>
      </c>
      <c r="M36" s="167">
        <v>0.58236689429862232</v>
      </c>
      <c r="N36" s="167">
        <v>0.41763310570122619</v>
      </c>
      <c r="O36" s="167">
        <v>0</v>
      </c>
      <c r="P36" s="170"/>
      <c r="Q36" s="170"/>
      <c r="R36" s="170"/>
      <c r="V36" s="200"/>
      <c r="W36" s="200"/>
    </row>
    <row r="37" spans="1:23" x14ac:dyDescent="0.25">
      <c r="A37" s="164">
        <v>39903</v>
      </c>
      <c r="B37" s="167">
        <v>2147</v>
      </c>
      <c r="C37" s="167">
        <v>12686</v>
      </c>
      <c r="D37" s="167">
        <v>1058</v>
      </c>
      <c r="E37" s="167">
        <f t="shared" si="5"/>
        <v>1.2735849056603774</v>
      </c>
      <c r="F37" s="167">
        <f t="shared" si="5"/>
        <v>4.9904824960688572</v>
      </c>
      <c r="G37" s="167">
        <f t="shared" si="5"/>
        <v>0.28436018957345971</v>
      </c>
      <c r="H37" s="167">
        <f t="shared" si="1"/>
        <v>2.2480229024815981</v>
      </c>
      <c r="K37" s="167">
        <f t="shared" si="2"/>
        <v>2.1000205493933795</v>
      </c>
      <c r="L37" s="167">
        <v>0.61364728253570133</v>
      </c>
      <c r="M37" s="167">
        <v>0.54320801361618343</v>
      </c>
      <c r="N37" s="167">
        <v>0.45679198638287222</v>
      </c>
      <c r="O37" s="167">
        <v>0</v>
      </c>
      <c r="P37" s="170"/>
      <c r="Q37" s="170"/>
      <c r="R37" s="170"/>
      <c r="V37" s="200"/>
      <c r="W37" s="200"/>
    </row>
    <row r="38" spans="1:23" x14ac:dyDescent="0.25">
      <c r="A38" s="164">
        <v>39933</v>
      </c>
      <c r="B38" s="167">
        <v>2095</v>
      </c>
      <c r="C38" s="167">
        <v>12476</v>
      </c>
      <c r="D38" s="167">
        <v>1045</v>
      </c>
      <c r="E38" s="167">
        <f t="shared" si="5"/>
        <v>-2.4219841639496971</v>
      </c>
      <c r="F38" s="167">
        <f t="shared" si="5"/>
        <v>-1.6553681223395869</v>
      </c>
      <c r="G38" s="167">
        <f t="shared" si="5"/>
        <v>-1.2287334593572778</v>
      </c>
      <c r="H38" s="167">
        <f t="shared" si="1"/>
        <v>-2.2210047917987881</v>
      </c>
      <c r="K38" s="167">
        <f t="shared" si="2"/>
        <v>2.1900205493933793</v>
      </c>
      <c r="L38" s="167">
        <v>0.62721200190377535</v>
      </c>
      <c r="M38" s="167">
        <v>0.50538188165180054</v>
      </c>
      <c r="N38" s="167">
        <v>0.4946181183482618</v>
      </c>
      <c r="O38" s="167">
        <v>0</v>
      </c>
      <c r="P38" s="170"/>
      <c r="Q38" s="170"/>
      <c r="R38" s="170"/>
      <c r="V38" s="200"/>
      <c r="W38" s="200"/>
    </row>
    <row r="39" spans="1:23" x14ac:dyDescent="0.25">
      <c r="A39" s="164">
        <v>39962</v>
      </c>
      <c r="B39" s="167">
        <v>2163</v>
      </c>
      <c r="C39" s="167">
        <v>13758</v>
      </c>
      <c r="D39" s="167">
        <v>1044</v>
      </c>
      <c r="E39" s="167">
        <f t="shared" si="5"/>
        <v>3.2458233890214796</v>
      </c>
      <c r="F39" s="167">
        <f t="shared" si="5"/>
        <v>10.275729400448862</v>
      </c>
      <c r="G39" s="167">
        <f t="shared" si="5"/>
        <v>-9.569377990430622E-2</v>
      </c>
      <c r="H39" s="167">
        <f t="shared" si="1"/>
        <v>5.0888140505631316</v>
      </c>
      <c r="K39" s="167">
        <f t="shared" si="2"/>
        <v>2.2800205493933792</v>
      </c>
      <c r="L39" s="167">
        <v>0.64039442550511905</v>
      </c>
      <c r="M39" s="167">
        <v>0.46862180713375784</v>
      </c>
      <c r="N39" s="167">
        <v>0.53137819286623922</v>
      </c>
      <c r="O39" s="167">
        <v>0</v>
      </c>
      <c r="P39" s="170"/>
      <c r="Q39" s="170"/>
      <c r="R39" s="170"/>
      <c r="V39" s="200"/>
      <c r="W39" s="200"/>
    </row>
    <row r="40" spans="1:23" x14ac:dyDescent="0.25">
      <c r="A40" s="164">
        <v>39994</v>
      </c>
      <c r="B40" s="167">
        <v>2155</v>
      </c>
      <c r="C40" s="167">
        <v>13372</v>
      </c>
      <c r="D40" s="167">
        <v>1046</v>
      </c>
      <c r="E40" s="167">
        <f t="shared" si="5"/>
        <v>-0.36985668053629217</v>
      </c>
      <c r="F40" s="167">
        <f t="shared" si="5"/>
        <v>-2.8056403547027182</v>
      </c>
      <c r="G40" s="167">
        <f t="shared" si="5"/>
        <v>0.19157088122605365</v>
      </c>
      <c r="H40" s="167">
        <f t="shared" si="1"/>
        <v>-1.0084322927891798</v>
      </c>
      <c r="K40" s="167">
        <f t="shared" si="2"/>
        <v>2.370020549393379</v>
      </c>
      <c r="L40" s="167">
        <v>0.65326395657686998</v>
      </c>
      <c r="M40" s="167">
        <v>0.4327342544713022</v>
      </c>
      <c r="N40" s="167">
        <v>0.56726574552855746</v>
      </c>
      <c r="O40" s="167">
        <v>0</v>
      </c>
      <c r="P40" s="170"/>
      <c r="Q40" s="170"/>
      <c r="R40" s="170"/>
      <c r="V40" s="200"/>
      <c r="W40" s="200"/>
    </row>
    <row r="41" spans="1:23" x14ac:dyDescent="0.25">
      <c r="A41" s="164">
        <v>40025</v>
      </c>
      <c r="B41" s="167">
        <v>2179</v>
      </c>
      <c r="C41" s="167">
        <v>14326</v>
      </c>
      <c r="D41" s="167">
        <v>1033</v>
      </c>
      <c r="E41" s="167">
        <f t="shared" si="5"/>
        <v>1.1136890951276102</v>
      </c>
      <c r="F41" s="167">
        <f t="shared" si="5"/>
        <v>7.1343104995513009</v>
      </c>
      <c r="G41" s="167">
        <f t="shared" si="5"/>
        <v>-1.24282982791587</v>
      </c>
      <c r="H41" s="167">
        <f t="shared" si="1"/>
        <v>2.6920813156551957</v>
      </c>
      <c r="K41" s="167">
        <f t="shared" si="2"/>
        <v>2.4600205493933789</v>
      </c>
      <c r="L41" s="167">
        <v>0.66587226072692596</v>
      </c>
      <c r="M41" s="167">
        <v>0.39757515064304944</v>
      </c>
      <c r="N41" s="167">
        <v>0.6024248493565646</v>
      </c>
      <c r="O41" s="167">
        <v>0</v>
      </c>
      <c r="P41" s="170"/>
      <c r="Q41" s="170"/>
      <c r="R41" s="170"/>
      <c r="V41" s="200"/>
      <c r="W41" s="200"/>
    </row>
    <row r="42" spans="1:23" x14ac:dyDescent="0.25">
      <c r="A42" s="164">
        <v>40056</v>
      </c>
      <c r="B42" s="167">
        <v>2217</v>
      </c>
      <c r="C42" s="167">
        <v>14983</v>
      </c>
      <c r="D42" s="167">
        <v>1047</v>
      </c>
      <c r="E42" s="167">
        <f t="shared" si="5"/>
        <v>1.7439192290041303</v>
      </c>
      <c r="F42" s="167">
        <f t="shared" si="5"/>
        <v>4.5860672902415187</v>
      </c>
      <c r="G42" s="167">
        <f t="shared" si="5"/>
        <v>1.3552758954501452</v>
      </c>
      <c r="H42" s="167">
        <f t="shared" si="1"/>
        <v>2.4890290987588384</v>
      </c>
      <c r="K42" s="167">
        <f t="shared" si="2"/>
        <v>2.5500205493933787</v>
      </c>
      <c r="L42" s="167">
        <v>0.67826040389171138</v>
      </c>
      <c r="M42" s="167">
        <v>0.36302998052426644</v>
      </c>
      <c r="N42" s="167">
        <v>0.63697001947499743</v>
      </c>
      <c r="O42" s="167">
        <v>0</v>
      </c>
      <c r="P42" s="170"/>
      <c r="Q42" s="170"/>
      <c r="R42" s="170"/>
      <c r="V42" s="200"/>
      <c r="W42" s="200"/>
    </row>
    <row r="43" spans="1:23" x14ac:dyDescent="0.25">
      <c r="A43" s="164">
        <v>40086</v>
      </c>
      <c r="B43" s="167">
        <v>2219</v>
      </c>
      <c r="C43" s="167">
        <v>14952</v>
      </c>
      <c r="D43" s="167">
        <v>1051</v>
      </c>
      <c r="E43" s="167">
        <f t="shared" si="5"/>
        <v>9.0211998195760035E-2</v>
      </c>
      <c r="F43" s="167">
        <f t="shared" si="5"/>
        <v>-0.20690115464192751</v>
      </c>
      <c r="G43" s="167">
        <f t="shared" si="5"/>
        <v>0.38204393505253104</v>
      </c>
      <c r="H43" s="167">
        <f t="shared" si="1"/>
        <v>1.2319526196251041E-2</v>
      </c>
      <c r="K43" s="167">
        <f t="shared" si="2"/>
        <v>2.6400205493933786</v>
      </c>
      <c r="L43" s="167">
        <v>0.69046043622228737</v>
      </c>
      <c r="M43" s="167">
        <v>0.32900937011625264</v>
      </c>
      <c r="N43" s="167">
        <v>0.67099062988361635</v>
      </c>
      <c r="O43" s="167">
        <v>0</v>
      </c>
      <c r="P43" s="170"/>
      <c r="Q43" s="170"/>
      <c r="R43" s="170"/>
      <c r="V43" s="200"/>
      <c r="W43" s="200"/>
    </row>
    <row r="44" spans="1:23" x14ac:dyDescent="0.25">
      <c r="A44" s="164">
        <v>40116</v>
      </c>
      <c r="B44" s="167">
        <v>2226</v>
      </c>
      <c r="C44" s="167">
        <v>15811</v>
      </c>
      <c r="D44" s="167">
        <v>1029</v>
      </c>
      <c r="E44" s="167">
        <f t="shared" si="5"/>
        <v>0.31545741324921134</v>
      </c>
      <c r="F44" s="167">
        <f t="shared" si="5"/>
        <v>5.7450508293204923</v>
      </c>
      <c r="G44" s="167">
        <f t="shared" si="5"/>
        <v>-2.093244529019981</v>
      </c>
      <c r="H44" s="167">
        <f t="shared" si="1"/>
        <v>1.7389031690385537</v>
      </c>
      <c r="K44" s="167">
        <f t="shared" si="2"/>
        <v>2.7300205493933785</v>
      </c>
      <c r="L44" s="167">
        <v>0.70249813836022712</v>
      </c>
      <c r="M44" s="167">
        <v>0.29544142836353637</v>
      </c>
      <c r="N44" s="167">
        <v>0.70455857163651303</v>
      </c>
      <c r="O44" s="167">
        <v>0</v>
      </c>
      <c r="P44" s="170"/>
      <c r="Q44" s="170"/>
      <c r="R44" s="170"/>
      <c r="V44" s="200"/>
      <c r="W44" s="200"/>
    </row>
    <row r="45" spans="1:23" x14ac:dyDescent="0.25">
      <c r="A45" s="164">
        <v>40147</v>
      </c>
      <c r="B45" s="167">
        <v>2215</v>
      </c>
      <c r="C45" s="167">
        <v>15751</v>
      </c>
      <c r="D45" s="167">
        <v>1034</v>
      </c>
      <c r="E45" s="167">
        <f t="shared" si="5"/>
        <v>-0.49415992812219228</v>
      </c>
      <c r="F45" s="167">
        <f t="shared" si="5"/>
        <v>-0.37948263866928089</v>
      </c>
      <c r="G45" s="167">
        <f t="shared" si="5"/>
        <v>0.48590864917395532</v>
      </c>
      <c r="H45" s="167">
        <f t="shared" si="1"/>
        <v>-0.46409563541568788</v>
      </c>
      <c r="K45" s="167">
        <f t="shared" si="2"/>
        <v>2.8200205493933783</v>
      </c>
      <c r="L45" s="167">
        <v>0.71439453265210029</v>
      </c>
      <c r="M45" s="167">
        <v>0.26226753303963463</v>
      </c>
      <c r="N45" s="167">
        <v>0.73773246696032124</v>
      </c>
      <c r="O45" s="167">
        <v>0</v>
      </c>
      <c r="P45" s="170"/>
      <c r="Q45" s="170"/>
      <c r="R45" s="170"/>
      <c r="V45" s="200"/>
      <c r="W45" s="200"/>
    </row>
    <row r="46" spans="1:23" x14ac:dyDescent="0.25">
      <c r="A46" s="164">
        <v>40178</v>
      </c>
      <c r="B46" s="167">
        <v>2213</v>
      </c>
      <c r="C46" s="167">
        <v>16063</v>
      </c>
      <c r="D46" s="167">
        <v>1042</v>
      </c>
      <c r="E46" s="167">
        <f t="shared" si="5"/>
        <v>-9.0293453724604969E-2</v>
      </c>
      <c r="F46" s="167">
        <f t="shared" si="5"/>
        <v>1.9808266141832265</v>
      </c>
      <c r="G46" s="167">
        <f t="shared" si="5"/>
        <v>0.77369439071566726</v>
      </c>
      <c r="H46" s="167">
        <f t="shared" si="1"/>
        <v>0.45268036366414199</v>
      </c>
      <c r="K46" s="167">
        <f t="shared" si="2"/>
        <v>2.9100205493933782</v>
      </c>
      <c r="L46" s="167">
        <v>0.72616686192742397</v>
      </c>
      <c r="M46" s="167">
        <v>0.22943960135544123</v>
      </c>
      <c r="N46" s="167">
        <v>0.77056039864428216</v>
      </c>
      <c r="O46" s="167">
        <v>0</v>
      </c>
      <c r="P46" s="170"/>
      <c r="Q46" s="170"/>
      <c r="R46" s="170"/>
      <c r="V46" s="200"/>
      <c r="W46" s="200"/>
    </row>
    <row r="47" spans="1:23" x14ac:dyDescent="0.25">
      <c r="A47" s="164">
        <v>40207</v>
      </c>
      <c r="B47" s="167">
        <v>2221</v>
      </c>
      <c r="C47" s="167">
        <v>15925</v>
      </c>
      <c r="D47" s="167">
        <v>1030</v>
      </c>
      <c r="E47" s="167">
        <f t="shared" si="5"/>
        <v>0.3615002259376412</v>
      </c>
      <c r="F47" s="167">
        <f t="shared" si="5"/>
        <v>-0.8591172259229285</v>
      </c>
      <c r="G47" s="167">
        <f t="shared" si="5"/>
        <v>-1.1516314779270633</v>
      </c>
      <c r="H47" s="167">
        <f t="shared" si="1"/>
        <v>4.1497863880458508E-2</v>
      </c>
      <c r="K47" s="167">
        <f t="shared" si="2"/>
        <v>3.000020549393378</v>
      </c>
      <c r="L47" s="167">
        <v>0.73782961641476108</v>
      </c>
      <c r="M47" s="167">
        <v>0.19691722633650335</v>
      </c>
      <c r="N47" s="167">
        <v>0.80308277366379321</v>
      </c>
      <c r="O47" s="167">
        <v>0</v>
      </c>
      <c r="P47" s="170"/>
      <c r="Q47" s="170"/>
      <c r="R47" s="170"/>
      <c r="V47" s="200"/>
      <c r="W47" s="200"/>
    </row>
    <row r="48" spans="1:23" x14ac:dyDescent="0.25">
      <c r="A48" s="164">
        <v>40235</v>
      </c>
      <c r="B48" s="167">
        <v>2230</v>
      </c>
      <c r="C48" s="167">
        <v>15921</v>
      </c>
      <c r="D48" s="167">
        <v>1047</v>
      </c>
      <c r="E48" s="167">
        <f t="shared" si="5"/>
        <v>0.40522287257991896</v>
      </c>
      <c r="F48" s="167">
        <f t="shared" si="5"/>
        <v>-2.5117739403453691E-2</v>
      </c>
      <c r="G48" s="167">
        <f t="shared" si="5"/>
        <v>1.6504854368932038</v>
      </c>
      <c r="H48" s="167">
        <f t="shared" si="1"/>
        <v>0.29240291394644524</v>
      </c>
      <c r="K48" s="167">
        <f t="shared" si="2"/>
        <v>3.0900205493933779</v>
      </c>
      <c r="L48" s="167">
        <v>0.74939500569683037</v>
      </c>
      <c r="M48" s="167">
        <v>0.16466636073639984</v>
      </c>
      <c r="N48" s="167">
        <v>0.83533363926345161</v>
      </c>
      <c r="O48" s="167">
        <v>0</v>
      </c>
      <c r="P48" s="170"/>
      <c r="Q48" s="170"/>
      <c r="R48" s="170"/>
      <c r="V48" s="200"/>
      <c r="W48" s="200"/>
    </row>
    <row r="49" spans="1:23" x14ac:dyDescent="0.25">
      <c r="A49" s="164">
        <v>40268</v>
      </c>
      <c r="B49" s="167">
        <v>2219</v>
      </c>
      <c r="C49" s="167">
        <v>16575</v>
      </c>
      <c r="D49" s="167">
        <v>1065</v>
      </c>
      <c r="E49" s="167">
        <f t="shared" si="5"/>
        <v>-0.49327354260089684</v>
      </c>
      <c r="F49" s="167">
        <f t="shared" si="5"/>
        <v>4.1077821744865268</v>
      </c>
      <c r="G49" s="167">
        <f t="shared" si="5"/>
        <v>1.7191977077363896</v>
      </c>
      <c r="H49" s="167">
        <f t="shared" si="1"/>
        <v>0.71295917275116294</v>
      </c>
      <c r="K49" s="167">
        <f t="shared" si="2"/>
        <v>3.1800205493933777</v>
      </c>
      <c r="L49" s="167">
        <v>0.76087323997746115</v>
      </c>
      <c r="M49" s="167">
        <v>0.13265852952894241</v>
      </c>
      <c r="N49" s="167">
        <v>0.8673414690560618</v>
      </c>
      <c r="O49" s="167">
        <v>0</v>
      </c>
      <c r="P49" s="170"/>
      <c r="Q49" s="170"/>
      <c r="R49" s="170"/>
      <c r="V49" s="200"/>
      <c r="W49" s="200"/>
    </row>
    <row r="50" spans="1:23" x14ac:dyDescent="0.25">
      <c r="A50" s="164">
        <v>40298</v>
      </c>
      <c r="B50" s="167">
        <v>2234</v>
      </c>
      <c r="C50" s="167">
        <v>16818</v>
      </c>
      <c r="D50" s="167">
        <v>1057</v>
      </c>
      <c r="E50" s="167">
        <f t="shared" si="5"/>
        <v>0.67598017124831</v>
      </c>
      <c r="F50" s="167">
        <f t="shared" si="5"/>
        <v>1.4660633484162895</v>
      </c>
      <c r="G50" s="167">
        <f t="shared" si="5"/>
        <v>-0.75117370892018775</v>
      </c>
      <c r="H50" s="167">
        <f t="shared" si="1"/>
        <v>0.883111806755002</v>
      </c>
      <c r="K50" s="167">
        <f t="shared" si="2"/>
        <v>3.2700205493933776</v>
      </c>
      <c r="L50" s="167">
        <v>0.77227375949382937</v>
      </c>
      <c r="M50" s="167">
        <v>0.10086741754603445</v>
      </c>
      <c r="N50" s="167">
        <v>0.8991325824538442</v>
      </c>
      <c r="O50" s="167">
        <v>0</v>
      </c>
      <c r="P50" s="170"/>
      <c r="Q50" s="170"/>
      <c r="R50" s="170"/>
      <c r="V50" s="200"/>
      <c r="W50" s="200"/>
    </row>
    <row r="51" spans="1:23" x14ac:dyDescent="0.25">
      <c r="A51" s="164">
        <v>40329</v>
      </c>
      <c r="B51" s="167">
        <v>2246</v>
      </c>
      <c r="C51" s="167">
        <v>16259</v>
      </c>
      <c r="D51" s="167">
        <v>1055</v>
      </c>
      <c r="E51" s="167">
        <f t="shared" si="5"/>
        <v>0.53715308863025968</v>
      </c>
      <c r="F51" s="167">
        <f t="shared" si="5"/>
        <v>-3.3238197169699131</v>
      </c>
      <c r="G51" s="167">
        <f t="shared" si="5"/>
        <v>-0.1892147587511826</v>
      </c>
      <c r="H51" s="167">
        <f t="shared" si="1"/>
        <v>-0.47505628121727023</v>
      </c>
      <c r="K51" s="167">
        <f t="shared" si="2"/>
        <v>3.3600205493933775</v>
      </c>
      <c r="L51" s="167">
        <v>0.78360365338248739</v>
      </c>
      <c r="M51" s="167">
        <v>6.9273246684982942E-2</v>
      </c>
      <c r="N51" s="167">
        <v>0.93072675331500709</v>
      </c>
      <c r="O51" s="167">
        <v>0</v>
      </c>
      <c r="P51" s="170"/>
      <c r="Q51" s="170"/>
      <c r="R51" s="170"/>
      <c r="V51" s="200"/>
      <c r="W51" s="200"/>
    </row>
    <row r="52" spans="1:23" x14ac:dyDescent="0.25">
      <c r="A52" s="164">
        <v>40359</v>
      </c>
      <c r="B52" s="167">
        <v>2255</v>
      </c>
      <c r="C52" s="167">
        <v>16309</v>
      </c>
      <c r="D52" s="167">
        <v>1063</v>
      </c>
      <c r="E52" s="167">
        <f t="shared" si="5"/>
        <v>0.40071237756010686</v>
      </c>
      <c r="F52" s="167">
        <f t="shared" si="5"/>
        <v>0.30752198782212931</v>
      </c>
      <c r="G52" s="167">
        <f t="shared" si="5"/>
        <v>0.75829383886255919</v>
      </c>
      <c r="H52" s="167">
        <f t="shared" si="1"/>
        <v>0.3762811831324025</v>
      </c>
      <c r="K52" s="167">
        <f t="shared" si="2"/>
        <v>3.4500205493933773</v>
      </c>
      <c r="L52" s="167">
        <v>0.79486977329527886</v>
      </c>
      <c r="M52" s="167">
        <v>3.7856913843305223E-2</v>
      </c>
      <c r="N52" s="167">
        <v>0.9621430861567507</v>
      </c>
      <c r="O52" s="167">
        <v>0</v>
      </c>
      <c r="P52" s="170"/>
      <c r="Q52" s="170"/>
      <c r="R52" s="170"/>
      <c r="V52" s="200"/>
      <c r="W52" s="200"/>
    </row>
    <row r="53" spans="1:23" x14ac:dyDescent="0.25">
      <c r="A53" s="164">
        <v>40389</v>
      </c>
      <c r="B53" s="167">
        <v>2220</v>
      </c>
      <c r="C53" s="167">
        <v>17001</v>
      </c>
      <c r="D53" s="167">
        <v>1071</v>
      </c>
      <c r="E53" s="167">
        <f t="shared" si="5"/>
        <v>-1.5521064301552105</v>
      </c>
      <c r="F53" s="167">
        <f t="shared" si="5"/>
        <v>4.2430559813599853</v>
      </c>
      <c r="G53" s="167">
        <f t="shared" si="5"/>
        <v>0.75258701787394167</v>
      </c>
      <c r="H53" s="167">
        <f t="shared" si="1"/>
        <v>-3.2821531774595458E-2</v>
      </c>
      <c r="K53" s="167">
        <f t="shared" si="2"/>
        <v>3.5400205493933772</v>
      </c>
      <c r="L53" s="167">
        <v>0.80607817927589298</v>
      </c>
      <c r="M53" s="167">
        <v>6.6015223210581604E-3</v>
      </c>
      <c r="N53" s="167">
        <v>0.9933984786279717</v>
      </c>
      <c r="O53" s="167">
        <v>0</v>
      </c>
      <c r="P53" s="170"/>
      <c r="Q53" s="170"/>
      <c r="R53" s="170"/>
      <c r="V53" s="200"/>
      <c r="W53" s="200"/>
    </row>
    <row r="54" spans="1:23" x14ac:dyDescent="0.25">
      <c r="A54" s="164">
        <v>40421</v>
      </c>
      <c r="B54" s="167">
        <v>2241</v>
      </c>
      <c r="C54" s="167">
        <v>16769</v>
      </c>
      <c r="D54" s="167">
        <v>1094</v>
      </c>
      <c r="E54" s="167">
        <f t="shared" si="5"/>
        <v>0.94594594594594594</v>
      </c>
      <c r="F54" s="167">
        <f t="shared" si="5"/>
        <v>-1.3646256102582202</v>
      </c>
      <c r="G54" s="167">
        <f t="shared" si="5"/>
        <v>2.1475256769374416</v>
      </c>
      <c r="H54" s="167">
        <f t="shared" si="1"/>
        <v>0.34019649285315595</v>
      </c>
      <c r="K54" s="167">
        <v>0.93002054939337875</v>
      </c>
      <c r="L54" s="167">
        <v>0.26849712203348064</v>
      </c>
      <c r="M54" s="167">
        <v>0.55461856196684545</v>
      </c>
      <c r="N54" s="167">
        <v>0</v>
      </c>
      <c r="O54" s="167">
        <v>0.44538144419688186</v>
      </c>
      <c r="P54" s="170"/>
      <c r="Q54" s="170"/>
      <c r="R54" s="170"/>
      <c r="V54" s="200"/>
      <c r="W54" s="200"/>
    </row>
    <row r="55" spans="1:23" x14ac:dyDescent="0.25">
      <c r="A55" s="164">
        <v>40451</v>
      </c>
      <c r="B55" s="167">
        <v>2235</v>
      </c>
      <c r="C55" s="167">
        <v>17887</v>
      </c>
      <c r="D55" s="167">
        <v>1102</v>
      </c>
      <c r="E55" s="167">
        <f t="shared" si="5"/>
        <v>-0.2677376171352075</v>
      </c>
      <c r="F55" s="167">
        <f t="shared" si="5"/>
        <v>6.6670642256544816</v>
      </c>
      <c r="G55" s="167">
        <f t="shared" si="5"/>
        <v>0.73126142595978061</v>
      </c>
      <c r="H55" s="167">
        <f t="shared" si="1"/>
        <v>1.5503201034964742</v>
      </c>
      <c r="K55" s="167">
        <v>1.0200205493933787</v>
      </c>
      <c r="L55" s="167">
        <v>0.1965531013246522</v>
      </c>
      <c r="M55" s="167">
        <v>0.37792120155922476</v>
      </c>
      <c r="N55" s="167">
        <v>0</v>
      </c>
      <c r="O55" s="167">
        <v>0.6220787984395878</v>
      </c>
      <c r="P55" s="170"/>
      <c r="Q55" s="170"/>
      <c r="R55" s="170"/>
      <c r="V55" s="200"/>
      <c r="W55" s="200"/>
    </row>
    <row r="56" spans="1:23" x14ac:dyDescent="0.25">
      <c r="A56" s="164">
        <v>40480</v>
      </c>
      <c r="B56" s="167">
        <v>2213</v>
      </c>
      <c r="C56" s="167">
        <v>18023</v>
      </c>
      <c r="D56" s="167">
        <v>1092</v>
      </c>
      <c r="E56" s="167">
        <f t="shared" si="5"/>
        <v>-0.98434004474272929</v>
      </c>
      <c r="F56" s="167">
        <f t="shared" si="5"/>
        <v>0.76032873036283333</v>
      </c>
      <c r="G56" s="167">
        <f t="shared" si="5"/>
        <v>-0.90744101633393826</v>
      </c>
      <c r="H56" s="167">
        <f t="shared" si="1"/>
        <v>-0.52695011885274357</v>
      </c>
      <c r="K56" s="167">
        <f>K55+0.09</f>
        <v>1.1100205493933788</v>
      </c>
      <c r="L56" s="167">
        <v>0.16443145174120172</v>
      </c>
      <c r="M56" s="167">
        <v>0.29902915941062735</v>
      </c>
      <c r="N56" s="167">
        <v>0</v>
      </c>
      <c r="O56" s="167">
        <v>0.70097084058935122</v>
      </c>
      <c r="P56" s="170"/>
      <c r="Q56" s="170"/>
      <c r="R56" s="170"/>
    </row>
    <row r="57" spans="1:23" x14ac:dyDescent="0.25">
      <c r="A57" s="164">
        <v>40512</v>
      </c>
      <c r="B57" s="167">
        <v>2244</v>
      </c>
      <c r="C57" s="167">
        <v>18067</v>
      </c>
      <c r="D57" s="167">
        <v>1080</v>
      </c>
      <c r="E57" s="167">
        <f t="shared" si="5"/>
        <v>1.4008133755083596</v>
      </c>
      <c r="F57" s="167">
        <f t="shared" si="5"/>
        <v>0.24413249736447873</v>
      </c>
      <c r="G57" s="167">
        <f t="shared" si="5"/>
        <v>-1.098901098901099</v>
      </c>
      <c r="H57" s="167">
        <f t="shared" si="1"/>
        <v>1.0975729086784174</v>
      </c>
      <c r="K57" s="167">
        <f>K56+0.09</f>
        <v>1.2000205493933789</v>
      </c>
      <c r="L57" s="167">
        <v>0.13826159856846354</v>
      </c>
      <c r="M57" s="167">
        <v>0.23475496470716914</v>
      </c>
      <c r="N57" s="167">
        <v>0</v>
      </c>
      <c r="O57" s="167">
        <v>0.76524503529277677</v>
      </c>
      <c r="P57" s="170"/>
      <c r="Q57" s="170"/>
      <c r="R57" s="170"/>
    </row>
    <row r="58" spans="1:23" x14ac:dyDescent="0.25">
      <c r="A58" s="164">
        <v>40543</v>
      </c>
      <c r="B58" s="167">
        <v>2233</v>
      </c>
      <c r="C58" s="167">
        <v>18811</v>
      </c>
      <c r="D58" s="167">
        <v>1096</v>
      </c>
      <c r="E58" s="167">
        <f t="shared" si="5"/>
        <v>-0.49019607843137253</v>
      </c>
      <c r="F58" s="167">
        <f t="shared" si="5"/>
        <v>4.1180052028560361</v>
      </c>
      <c r="G58" s="167">
        <f t="shared" si="5"/>
        <v>1.4814814814814814</v>
      </c>
      <c r="H58" s="167">
        <f t="shared" si="1"/>
        <v>0.71790994903352168</v>
      </c>
      <c r="K58" s="167">
        <f>K57+0.09</f>
        <v>1.290020549393379</v>
      </c>
      <c r="L58" s="167">
        <v>0.11496946981855417</v>
      </c>
      <c r="M58" s="167">
        <v>0.17754857503244201</v>
      </c>
      <c r="N58" s="167">
        <v>0</v>
      </c>
      <c r="O58" s="167">
        <v>0.82245142496760693</v>
      </c>
      <c r="P58" s="170"/>
      <c r="Q58" s="170"/>
      <c r="R58" s="170"/>
    </row>
    <row r="59" spans="1:23" x14ac:dyDescent="0.25">
      <c r="A59" s="164">
        <v>40574</v>
      </c>
      <c r="B59" s="167">
        <v>2265</v>
      </c>
      <c r="C59" s="167">
        <v>18476</v>
      </c>
      <c r="D59" s="167">
        <v>1060</v>
      </c>
      <c r="E59" s="167">
        <f t="shared" si="5"/>
        <v>1.433049708911778</v>
      </c>
      <c r="F59" s="167">
        <f t="shared" si="5"/>
        <v>-1.7808728935197491</v>
      </c>
      <c r="G59" s="167">
        <f t="shared" si="5"/>
        <v>-3.2846715328467155</v>
      </c>
      <c r="H59" s="167">
        <f t="shared" si="1"/>
        <v>0.59047383111157159</v>
      </c>
      <c r="K59" s="201">
        <f>K58+0.09</f>
        <v>1.380020549393379</v>
      </c>
      <c r="L59" s="201">
        <v>9.3403409059745035E-2</v>
      </c>
      <c r="M59" s="201">
        <v>0.12458147662922207</v>
      </c>
      <c r="N59" s="201">
        <v>0</v>
      </c>
      <c r="O59" s="201">
        <v>0.87541852337077508</v>
      </c>
      <c r="P59" s="170"/>
      <c r="Q59" s="170"/>
      <c r="R59" s="170"/>
    </row>
    <row r="60" spans="1:23" x14ac:dyDescent="0.25">
      <c r="A60" s="164">
        <v>40602</v>
      </c>
      <c r="B60" s="167">
        <v>2279</v>
      </c>
      <c r="C60" s="167">
        <v>18989</v>
      </c>
      <c r="D60" s="167">
        <v>1068</v>
      </c>
      <c r="E60" s="167">
        <f t="shared" si="5"/>
        <v>0.61810154525386318</v>
      </c>
      <c r="F60" s="167">
        <f t="shared" si="5"/>
        <v>2.7765750162372806</v>
      </c>
      <c r="G60" s="167">
        <f t="shared" si="5"/>
        <v>0.75471698113207553</v>
      </c>
      <c r="H60" s="167">
        <f t="shared" si="1"/>
        <v>1.183976313543698</v>
      </c>
      <c r="Q60" s="170"/>
      <c r="R60" s="170"/>
    </row>
    <row r="61" spans="1:23" x14ac:dyDescent="0.25">
      <c r="A61" s="164">
        <v>40633</v>
      </c>
      <c r="B61" s="167">
        <v>2257</v>
      </c>
      <c r="C61" s="167">
        <v>19310</v>
      </c>
      <c r="D61" s="167">
        <v>1074</v>
      </c>
      <c r="E61" s="167">
        <f t="shared" si="5"/>
        <v>-0.96533567354102678</v>
      </c>
      <c r="F61" s="167">
        <f t="shared" si="5"/>
        <v>1.6904523671599347</v>
      </c>
      <c r="G61" s="167">
        <f t="shared" si="5"/>
        <v>0.5617977528089888</v>
      </c>
      <c r="H61" s="167">
        <f t="shared" si="1"/>
        <v>-0.26908277003659803</v>
      </c>
      <c r="Q61" s="170"/>
      <c r="R61" s="170"/>
    </row>
    <row r="62" spans="1:23" x14ac:dyDescent="0.25">
      <c r="A62" s="164">
        <v>40662</v>
      </c>
      <c r="B62" s="167">
        <v>2245</v>
      </c>
      <c r="C62" s="167">
        <v>19629</v>
      </c>
      <c r="D62" s="167">
        <v>1072</v>
      </c>
      <c r="E62" s="167">
        <f t="shared" si="5"/>
        <v>-0.53167922020381042</v>
      </c>
      <c r="F62" s="167">
        <f t="shared" si="5"/>
        <v>1.6519937856033144</v>
      </c>
      <c r="G62" s="167">
        <f t="shared" si="5"/>
        <v>-0.18621973929236499</v>
      </c>
      <c r="H62" s="167">
        <f t="shared" si="1"/>
        <v>4.0801960971793061E-2</v>
      </c>
      <c r="Q62" s="170"/>
      <c r="R62" s="170"/>
    </row>
    <row r="63" spans="1:23" x14ac:dyDescent="0.25">
      <c r="A63" s="164">
        <v>40694</v>
      </c>
      <c r="B63" s="167">
        <v>2276</v>
      </c>
      <c r="C63" s="167">
        <v>19734</v>
      </c>
      <c r="D63" s="167">
        <v>1084</v>
      </c>
      <c r="E63" s="167">
        <f t="shared" si="5"/>
        <v>1.3808463251670378</v>
      </c>
      <c r="F63" s="167">
        <f t="shared" si="5"/>
        <v>0.53492281827907684</v>
      </c>
      <c r="G63" s="167">
        <f t="shared" si="5"/>
        <v>1.1194029850746268</v>
      </c>
      <c r="H63" s="167">
        <f t="shared" si="1"/>
        <v>1.1590753581949955</v>
      </c>
      <c r="K63" s="170"/>
      <c r="L63" s="170"/>
      <c r="M63" s="205"/>
      <c r="Q63" s="170"/>
      <c r="R63" s="170"/>
    </row>
    <row r="64" spans="1:23" x14ac:dyDescent="0.25">
      <c r="A64" s="164">
        <v>40724</v>
      </c>
      <c r="B64" s="167">
        <v>2270</v>
      </c>
      <c r="C64" s="167">
        <v>19190</v>
      </c>
      <c r="D64" s="167">
        <v>1091</v>
      </c>
      <c r="E64" s="167">
        <f t="shared" si="5"/>
        <v>-0.26362038664323373</v>
      </c>
      <c r="F64" s="167">
        <f t="shared" si="5"/>
        <v>-2.7566636262288435</v>
      </c>
      <c r="G64" s="167">
        <f t="shared" si="5"/>
        <v>0.64575645756457567</v>
      </c>
      <c r="H64" s="167">
        <f t="shared" si="1"/>
        <v>-0.91720741426354158</v>
      </c>
      <c r="K64" s="170"/>
      <c r="Q64" s="170"/>
      <c r="R64" s="170"/>
    </row>
    <row r="65" spans="1:18" x14ac:dyDescent="0.25">
      <c r="A65" s="164">
        <v>40753</v>
      </c>
      <c r="B65" s="167">
        <v>2278</v>
      </c>
      <c r="C65" s="167">
        <v>18883</v>
      </c>
      <c r="D65" s="167">
        <v>1082</v>
      </c>
      <c r="E65" s="167">
        <f t="shared" si="5"/>
        <v>0.3524229074889868</v>
      </c>
      <c r="F65" s="167">
        <f t="shared" si="5"/>
        <v>-1.5997915581031787</v>
      </c>
      <c r="G65" s="167">
        <f t="shared" si="5"/>
        <v>-0.82493125572868931</v>
      </c>
      <c r="H65" s="167">
        <f t="shared" si="1"/>
        <v>-0.15937810012536135</v>
      </c>
      <c r="K65" s="170"/>
      <c r="Q65" s="170"/>
      <c r="R65" s="170"/>
    </row>
    <row r="66" spans="1:18" x14ac:dyDescent="0.25">
      <c r="A66" s="164">
        <v>40786</v>
      </c>
      <c r="B66" s="167">
        <v>2330</v>
      </c>
      <c r="C66" s="167">
        <v>19055</v>
      </c>
      <c r="D66" s="167">
        <v>1114</v>
      </c>
      <c r="E66" s="167">
        <f t="shared" si="5"/>
        <v>2.2827041264266903</v>
      </c>
      <c r="F66" s="167">
        <f t="shared" si="5"/>
        <v>0.91087221310173172</v>
      </c>
      <c r="G66" s="167">
        <f t="shared" si="5"/>
        <v>2.957486136783734</v>
      </c>
      <c r="H66" s="167">
        <f t="shared" si="1"/>
        <v>1.9230587362010549</v>
      </c>
      <c r="K66" s="170"/>
      <c r="Q66" s="170"/>
      <c r="R66" s="170"/>
    </row>
    <row r="67" spans="1:18" x14ac:dyDescent="0.25">
      <c r="A67" s="164">
        <v>40816</v>
      </c>
      <c r="B67" s="167">
        <v>2420</v>
      </c>
      <c r="C67" s="167">
        <v>18866</v>
      </c>
      <c r="D67" s="167">
        <v>1099</v>
      </c>
      <c r="E67" s="167">
        <f t="shared" ref="E67:G98" si="6">100*(B67-B66)/B66</f>
        <v>3.8626609442060085</v>
      </c>
      <c r="F67" s="167">
        <f t="shared" si="6"/>
        <v>-0.9918656520598268</v>
      </c>
      <c r="G67" s="167">
        <f t="shared" si="6"/>
        <v>-1.3464991023339319</v>
      </c>
      <c r="H67" s="167">
        <f t="shared" ref="H67:H130" si="7">E67*$K$12+F67*$K$13+G67*$K$14</f>
        <v>2.5899772229134976</v>
      </c>
      <c r="K67" s="170"/>
      <c r="Q67" s="170"/>
      <c r="R67" s="170"/>
    </row>
    <row r="68" spans="1:18" x14ac:dyDescent="0.25">
      <c r="A68" s="164">
        <v>40847</v>
      </c>
      <c r="B68" s="167">
        <v>2412</v>
      </c>
      <c r="C68" s="167">
        <v>20409</v>
      </c>
      <c r="D68" s="167">
        <v>1104</v>
      </c>
      <c r="E68" s="167">
        <f t="shared" si="6"/>
        <v>-0.33057851239669422</v>
      </c>
      <c r="F68" s="167">
        <f t="shared" si="6"/>
        <v>8.1787342308915516</v>
      </c>
      <c r="G68" s="167">
        <f t="shared" si="6"/>
        <v>0.45495905368516831</v>
      </c>
      <c r="H68" s="167">
        <f t="shared" si="7"/>
        <v>1.900259813028585</v>
      </c>
      <c r="K68" s="170"/>
      <c r="Q68" s="170"/>
      <c r="R68" s="170"/>
    </row>
    <row r="69" spans="1:18" x14ac:dyDescent="0.25">
      <c r="A69" s="164">
        <v>40877</v>
      </c>
      <c r="B69" s="167">
        <v>2438</v>
      </c>
      <c r="C69" s="167">
        <v>20601</v>
      </c>
      <c r="D69" s="167">
        <v>1100</v>
      </c>
      <c r="E69" s="167">
        <f t="shared" si="6"/>
        <v>1.0779436152570481</v>
      </c>
      <c r="F69" s="167">
        <f t="shared" si="6"/>
        <v>0.94076142878141999</v>
      </c>
      <c r="G69" s="167">
        <f t="shared" si="6"/>
        <v>-0.36231884057971014</v>
      </c>
      <c r="H69" s="167">
        <f t="shared" si="7"/>
        <v>1.0419793444275454</v>
      </c>
      <c r="K69" s="170"/>
      <c r="Q69" s="170"/>
      <c r="R69" s="170"/>
    </row>
    <row r="70" spans="1:18" x14ac:dyDescent="0.25">
      <c r="A70" s="164">
        <v>40907</v>
      </c>
      <c r="B70" s="167">
        <v>2442</v>
      </c>
      <c r="C70" s="167">
        <v>20459</v>
      </c>
      <c r="D70" s="167">
        <v>1112</v>
      </c>
      <c r="E70" s="167">
        <f t="shared" si="6"/>
        <v>0.16406890894175555</v>
      </c>
      <c r="F70" s="167">
        <f t="shared" si="6"/>
        <v>-0.68928692781903789</v>
      </c>
      <c r="G70" s="167">
        <f t="shared" si="6"/>
        <v>1.0909090909090908</v>
      </c>
      <c r="H70" s="167">
        <f t="shared" si="7"/>
        <v>-5.9650556668203625E-2</v>
      </c>
      <c r="K70" s="170"/>
      <c r="Q70" s="170"/>
      <c r="R70" s="170"/>
    </row>
    <row r="71" spans="1:18" x14ac:dyDescent="0.25">
      <c r="A71" s="164">
        <v>40939</v>
      </c>
      <c r="B71" s="167">
        <v>2416</v>
      </c>
      <c r="C71" s="167">
        <v>21100</v>
      </c>
      <c r="D71" s="167">
        <v>1111</v>
      </c>
      <c r="E71" s="167">
        <f t="shared" si="6"/>
        <v>-1.0647010647010646</v>
      </c>
      <c r="F71" s="167">
        <f t="shared" si="6"/>
        <v>3.1330954592111051</v>
      </c>
      <c r="G71" s="167">
        <f t="shared" si="6"/>
        <v>-8.9928057553956831E-2</v>
      </c>
      <c r="H71" s="167">
        <f t="shared" si="7"/>
        <v>3.5811468737931396E-2</v>
      </c>
      <c r="K71" s="170"/>
      <c r="Q71" s="170"/>
      <c r="R71" s="170"/>
    </row>
    <row r="72" spans="1:18" x14ac:dyDescent="0.25">
      <c r="A72" s="164">
        <v>40968</v>
      </c>
      <c r="B72" s="167">
        <v>2412</v>
      </c>
      <c r="C72" s="167">
        <v>21440</v>
      </c>
      <c r="D72" s="167">
        <v>1111</v>
      </c>
      <c r="E72" s="167">
        <f t="shared" si="6"/>
        <v>-0.16556291390728478</v>
      </c>
      <c r="F72" s="167">
        <f t="shared" si="6"/>
        <v>1.6113744075829384</v>
      </c>
      <c r="G72" s="167">
        <f t="shared" si="6"/>
        <v>0</v>
      </c>
      <c r="H72" s="167">
        <f t="shared" si="7"/>
        <v>0.30028667860984976</v>
      </c>
      <c r="K72" s="170"/>
      <c r="Q72" s="170"/>
      <c r="R72" s="170"/>
    </row>
    <row r="73" spans="1:18" x14ac:dyDescent="0.25">
      <c r="A73" s="164">
        <v>40998</v>
      </c>
      <c r="B73" s="167">
        <v>2454</v>
      </c>
      <c r="C73" s="167">
        <v>21208</v>
      </c>
      <c r="D73" s="167">
        <v>1116</v>
      </c>
      <c r="E73" s="167">
        <f t="shared" si="6"/>
        <v>1.7412935323383085</v>
      </c>
      <c r="F73" s="167">
        <f t="shared" si="6"/>
        <v>-1.0820895522388059</v>
      </c>
      <c r="G73" s="167">
        <f t="shared" si="6"/>
        <v>0.45004500450045004</v>
      </c>
      <c r="H73" s="167">
        <f t="shared" si="7"/>
        <v>1.0011031897404015</v>
      </c>
      <c r="K73" s="170"/>
      <c r="Q73" s="170"/>
      <c r="R73" s="170"/>
    </row>
    <row r="74" spans="1:18" x14ac:dyDescent="0.25">
      <c r="A74" s="164">
        <v>41029</v>
      </c>
      <c r="B74" s="167">
        <v>2437</v>
      </c>
      <c r="C74" s="167">
        <v>21365</v>
      </c>
      <c r="D74" s="167">
        <v>1112</v>
      </c>
      <c r="E74" s="167">
        <f t="shared" si="6"/>
        <v>-0.69274653626731864</v>
      </c>
      <c r="F74" s="167">
        <f t="shared" si="6"/>
        <v>0.74028668427008681</v>
      </c>
      <c r="G74" s="167">
        <f t="shared" si="6"/>
        <v>-0.35842293906810035</v>
      </c>
      <c r="H74" s="167">
        <f t="shared" si="7"/>
        <v>-0.31705633706015879</v>
      </c>
      <c r="K74" s="170"/>
      <c r="Q74" s="170"/>
      <c r="R74" s="170"/>
    </row>
    <row r="75" spans="1:18" x14ac:dyDescent="0.25">
      <c r="A75" s="164">
        <v>41060</v>
      </c>
      <c r="B75" s="167">
        <v>2488</v>
      </c>
      <c r="C75" s="167">
        <v>20958</v>
      </c>
      <c r="D75" s="167">
        <v>1111</v>
      </c>
      <c r="E75" s="167">
        <f t="shared" si="6"/>
        <v>2.0927369716864996</v>
      </c>
      <c r="F75" s="167">
        <f t="shared" si="6"/>
        <v>-1.9049847882050082</v>
      </c>
      <c r="G75" s="167">
        <f t="shared" si="6"/>
        <v>-8.9928057553956831E-2</v>
      </c>
      <c r="H75" s="167">
        <f t="shared" si="7"/>
        <v>1.0446769117107473</v>
      </c>
      <c r="K75" s="170"/>
      <c r="Q75" s="170"/>
      <c r="R75" s="170"/>
    </row>
    <row r="76" spans="1:18" x14ac:dyDescent="0.25">
      <c r="A76" s="164">
        <v>41089</v>
      </c>
      <c r="B76" s="167">
        <v>2478</v>
      </c>
      <c r="C76" s="167">
        <v>21310</v>
      </c>
      <c r="D76" s="167">
        <v>1142</v>
      </c>
      <c r="E76" s="167">
        <f t="shared" si="6"/>
        <v>-0.40192926045016075</v>
      </c>
      <c r="F76" s="167">
        <f t="shared" si="6"/>
        <v>1.6795495753411585</v>
      </c>
      <c r="G76" s="167">
        <f t="shared" si="6"/>
        <v>2.7902790279027903</v>
      </c>
      <c r="H76" s="167">
        <f t="shared" si="7"/>
        <v>0.14376025470095899</v>
      </c>
      <c r="K76" s="170"/>
      <c r="Q76" s="170"/>
      <c r="R76" s="170"/>
    </row>
    <row r="77" spans="1:18" x14ac:dyDescent="0.25">
      <c r="A77" s="164">
        <v>41121</v>
      </c>
      <c r="B77" s="167">
        <v>2474</v>
      </c>
      <c r="C77" s="167">
        <v>21555</v>
      </c>
      <c r="D77" s="167">
        <v>1156</v>
      </c>
      <c r="E77" s="167">
        <f t="shared" si="6"/>
        <v>-0.16142050040355124</v>
      </c>
      <c r="F77" s="167">
        <f t="shared" si="6"/>
        <v>1.1496949788831534</v>
      </c>
      <c r="G77" s="167">
        <f t="shared" si="6"/>
        <v>1.2259194395796849</v>
      </c>
      <c r="H77" s="167">
        <f t="shared" si="7"/>
        <v>0.18230721806540734</v>
      </c>
      <c r="K77" s="170"/>
      <c r="Q77" s="170"/>
      <c r="R77" s="170"/>
    </row>
    <row r="78" spans="1:18" x14ac:dyDescent="0.25">
      <c r="A78" s="164">
        <v>41152</v>
      </c>
      <c r="B78" s="167">
        <v>2507</v>
      </c>
      <c r="C78" s="167">
        <v>21961</v>
      </c>
      <c r="D78" s="167">
        <v>1158</v>
      </c>
      <c r="E78" s="167">
        <f t="shared" si="6"/>
        <v>1.333872271624899</v>
      </c>
      <c r="F78" s="167">
        <f t="shared" si="6"/>
        <v>1.8835536998376248</v>
      </c>
      <c r="G78" s="167">
        <f t="shared" si="6"/>
        <v>0.17301038062283736</v>
      </c>
      <c r="H78" s="167">
        <f t="shared" si="7"/>
        <v>1.4779791458658196</v>
      </c>
      <c r="K78" s="170"/>
      <c r="Q78" s="170"/>
      <c r="R78" s="170"/>
    </row>
    <row r="79" spans="1:18" x14ac:dyDescent="0.25">
      <c r="A79" s="164">
        <v>41180</v>
      </c>
      <c r="B79" s="167">
        <v>2520</v>
      </c>
      <c r="C79" s="167">
        <v>22267</v>
      </c>
      <c r="D79" s="167">
        <v>1164</v>
      </c>
      <c r="E79" s="167">
        <f t="shared" si="6"/>
        <v>0.51854806541683285</v>
      </c>
      <c r="F79" s="167">
        <f t="shared" si="6"/>
        <v>1.3933791721688447</v>
      </c>
      <c r="G79" s="167">
        <f t="shared" si="6"/>
        <v>0.51813471502590669</v>
      </c>
      <c r="H79" s="167">
        <f t="shared" si="7"/>
        <v>0.74789758475024959</v>
      </c>
      <c r="K79" s="170"/>
      <c r="Q79" s="170"/>
      <c r="R79" s="170"/>
    </row>
    <row r="80" spans="1:18" x14ac:dyDescent="0.25">
      <c r="A80" s="164">
        <v>41213</v>
      </c>
      <c r="B80" s="167">
        <v>2540</v>
      </c>
      <c r="C80" s="167">
        <v>23036</v>
      </c>
      <c r="D80" s="167">
        <v>1139</v>
      </c>
      <c r="E80" s="167">
        <f t="shared" si="6"/>
        <v>0.79365079365079361</v>
      </c>
      <c r="F80" s="167">
        <f t="shared" si="6"/>
        <v>3.4535411146539721</v>
      </c>
      <c r="G80" s="167">
        <f t="shared" si="6"/>
        <v>-2.1477663230240549</v>
      </c>
      <c r="H80" s="167">
        <f t="shared" si="7"/>
        <v>1.4909791785924047</v>
      </c>
      <c r="K80" s="170"/>
      <c r="Q80" s="170"/>
      <c r="R80" s="170"/>
    </row>
    <row r="81" spans="1:18" x14ac:dyDescent="0.25">
      <c r="A81" s="164">
        <v>41243</v>
      </c>
      <c r="B81" s="167">
        <v>2553</v>
      </c>
      <c r="C81" s="167">
        <v>23338</v>
      </c>
      <c r="D81" s="167">
        <v>1152</v>
      </c>
      <c r="E81" s="167">
        <f t="shared" si="6"/>
        <v>0.51181102362204722</v>
      </c>
      <c r="F81" s="167">
        <f t="shared" si="6"/>
        <v>1.3109914915783991</v>
      </c>
      <c r="G81" s="167">
        <f t="shared" si="6"/>
        <v>1.1413520632133451</v>
      </c>
      <c r="H81" s="167">
        <f t="shared" si="7"/>
        <v>0.72132764341111566</v>
      </c>
      <c r="K81" s="170"/>
      <c r="Q81" s="170"/>
      <c r="R81" s="170"/>
    </row>
    <row r="82" spans="1:18" x14ac:dyDescent="0.25">
      <c r="A82" s="164">
        <v>41274</v>
      </c>
      <c r="B82" s="167">
        <v>2532</v>
      </c>
      <c r="C82" s="167">
        <v>23773</v>
      </c>
      <c r="D82" s="167">
        <v>1176</v>
      </c>
      <c r="E82" s="167">
        <f t="shared" si="6"/>
        <v>-0.82256169212690955</v>
      </c>
      <c r="F82" s="167">
        <f t="shared" si="6"/>
        <v>1.8639129316993743</v>
      </c>
      <c r="G82" s="167">
        <f t="shared" si="6"/>
        <v>2.0833333333333335</v>
      </c>
      <c r="H82" s="167">
        <f t="shared" si="7"/>
        <v>-0.11826386012662138</v>
      </c>
      <c r="K82" s="170"/>
      <c r="Q82" s="170"/>
      <c r="R82" s="170"/>
    </row>
    <row r="83" spans="1:18" x14ac:dyDescent="0.25">
      <c r="A83" s="164">
        <v>41305</v>
      </c>
      <c r="B83" s="167">
        <v>2608</v>
      </c>
      <c r="C83" s="167">
        <v>24733</v>
      </c>
      <c r="D83" s="167">
        <v>1154</v>
      </c>
      <c r="E83" s="167">
        <f t="shared" si="6"/>
        <v>3.0015797788309637</v>
      </c>
      <c r="F83" s="167">
        <f t="shared" si="6"/>
        <v>4.0381945905018295</v>
      </c>
      <c r="G83" s="167">
        <f t="shared" si="6"/>
        <v>-1.870748299319728</v>
      </c>
      <c r="H83" s="167">
        <f t="shared" si="7"/>
        <v>3.2733432296772245</v>
      </c>
      <c r="K83" s="170"/>
      <c r="Q83" s="170"/>
      <c r="R83" s="170"/>
    </row>
    <row r="84" spans="1:18" x14ac:dyDescent="0.25">
      <c r="A84" s="164">
        <v>41333</v>
      </c>
      <c r="B84" s="167">
        <v>2611</v>
      </c>
      <c r="C84" s="167">
        <v>24491</v>
      </c>
      <c r="D84" s="167">
        <v>1162</v>
      </c>
      <c r="E84" s="167">
        <f t="shared" si="6"/>
        <v>0.11503067484662577</v>
      </c>
      <c r="F84" s="167">
        <f t="shared" si="6"/>
        <v>-0.9784498443375248</v>
      </c>
      <c r="G84" s="167">
        <f t="shared" si="6"/>
        <v>0.69324090121317161</v>
      </c>
      <c r="H84" s="167">
        <f t="shared" si="7"/>
        <v>-0.17164091902220135</v>
      </c>
      <c r="K84" s="170"/>
    </row>
    <row r="85" spans="1:18" x14ac:dyDescent="0.25">
      <c r="A85" s="164">
        <v>41361</v>
      </c>
      <c r="B85" s="167">
        <v>2671</v>
      </c>
      <c r="C85" s="167">
        <v>25417</v>
      </c>
      <c r="D85" s="167">
        <v>1166</v>
      </c>
      <c r="E85" s="167">
        <f t="shared" si="6"/>
        <v>2.297970126388357</v>
      </c>
      <c r="F85" s="167">
        <f t="shared" si="6"/>
        <v>3.7809807684455516</v>
      </c>
      <c r="G85" s="167">
        <f t="shared" si="6"/>
        <v>0.34423407917383819</v>
      </c>
      <c r="H85" s="167">
        <f t="shared" si="7"/>
        <v>2.6867626398740252</v>
      </c>
      <c r="K85" s="170"/>
    </row>
    <row r="86" spans="1:18" x14ac:dyDescent="0.25">
      <c r="A86" s="164">
        <v>41394</v>
      </c>
      <c r="B86" s="167">
        <v>2652</v>
      </c>
      <c r="C86" s="167">
        <v>24845</v>
      </c>
      <c r="D86" s="167">
        <v>1187</v>
      </c>
      <c r="E86" s="167">
        <f t="shared" si="6"/>
        <v>-0.71134406589292398</v>
      </c>
      <c r="F86" s="167">
        <f t="shared" si="6"/>
        <v>-2.2504622890191603</v>
      </c>
      <c r="G86" s="167">
        <f t="shared" si="6"/>
        <v>1.8010291595197256</v>
      </c>
      <c r="H86" s="167">
        <f t="shared" si="7"/>
        <v>-1.1148459772480845</v>
      </c>
      <c r="K86" s="170"/>
    </row>
    <row r="87" spans="1:18" x14ac:dyDescent="0.25">
      <c r="A87" s="164">
        <v>41425</v>
      </c>
      <c r="B87" s="167">
        <v>2775</v>
      </c>
      <c r="C87" s="167">
        <v>26567</v>
      </c>
      <c r="D87" s="167">
        <v>1145</v>
      </c>
      <c r="E87" s="167">
        <f t="shared" si="6"/>
        <v>4.6380090497737561</v>
      </c>
      <c r="F87" s="167">
        <f t="shared" si="6"/>
        <v>6.9309720265647012</v>
      </c>
      <c r="G87" s="167">
        <f t="shared" si="6"/>
        <v>-3.5383319292333613</v>
      </c>
      <c r="H87" s="167">
        <f t="shared" si="7"/>
        <v>5.2391421925845219</v>
      </c>
      <c r="K87" s="170"/>
    </row>
    <row r="88" spans="1:18" x14ac:dyDescent="0.25">
      <c r="A88" s="164">
        <v>41453</v>
      </c>
      <c r="B88" s="167">
        <v>2745</v>
      </c>
      <c r="C88" s="167">
        <v>24717</v>
      </c>
      <c r="D88" s="167">
        <v>1142</v>
      </c>
      <c r="E88" s="167">
        <f t="shared" si="6"/>
        <v>-1.0810810810810811</v>
      </c>
      <c r="F88" s="167">
        <f t="shared" si="6"/>
        <v>-6.963526179094365</v>
      </c>
      <c r="G88" s="167">
        <f t="shared" si="6"/>
        <v>-0.26200873362445415</v>
      </c>
      <c r="H88" s="167">
        <f t="shared" si="7"/>
        <v>-2.6232484017708071</v>
      </c>
      <c r="K88" s="170"/>
    </row>
    <row r="89" spans="1:18" x14ac:dyDescent="0.25">
      <c r="A89" s="164">
        <v>41486</v>
      </c>
      <c r="B89" s="167">
        <v>2749</v>
      </c>
      <c r="C89" s="167">
        <v>25775</v>
      </c>
      <c r="D89" s="167">
        <v>1113</v>
      </c>
      <c r="E89" s="167">
        <f t="shared" si="6"/>
        <v>0.14571948998178508</v>
      </c>
      <c r="F89" s="167">
        <f t="shared" si="6"/>
        <v>4.280454747744467</v>
      </c>
      <c r="G89" s="167">
        <f t="shared" si="6"/>
        <v>-2.5394045534150611</v>
      </c>
      <c r="H89" s="167">
        <f t="shared" si="7"/>
        <v>1.2296996152121553</v>
      </c>
      <c r="K89" s="170"/>
    </row>
    <row r="90" spans="1:18" x14ac:dyDescent="0.25">
      <c r="A90" s="164">
        <v>41516</v>
      </c>
      <c r="B90" s="167">
        <v>2805</v>
      </c>
      <c r="C90" s="167">
        <v>26280</v>
      </c>
      <c r="D90" s="167">
        <v>1100</v>
      </c>
      <c r="E90" s="167">
        <f t="shared" si="6"/>
        <v>2.0371044016005819</v>
      </c>
      <c r="F90" s="167">
        <f t="shared" si="6"/>
        <v>1.959262851600388</v>
      </c>
      <c r="G90" s="167">
        <f t="shared" si="6"/>
        <v>-1.1680143755615453</v>
      </c>
      <c r="H90" s="167">
        <f t="shared" si="7"/>
        <v>2.0166971347134317</v>
      </c>
      <c r="K90" s="170"/>
    </row>
    <row r="91" spans="1:18" x14ac:dyDescent="0.25">
      <c r="A91" s="164">
        <v>41547</v>
      </c>
      <c r="B91" s="167">
        <v>2796</v>
      </c>
      <c r="C91" s="167">
        <v>27197</v>
      </c>
      <c r="D91" s="167">
        <v>1138</v>
      </c>
      <c r="E91" s="167">
        <f t="shared" si="6"/>
        <v>-0.32085561497326204</v>
      </c>
      <c r="F91" s="167">
        <f t="shared" si="6"/>
        <v>3.4893455098934552</v>
      </c>
      <c r="G91" s="167">
        <f t="shared" si="6"/>
        <v>3.4545454545454546</v>
      </c>
      <c r="H91" s="167">
        <f t="shared" si="7"/>
        <v>0.67804323210512607</v>
      </c>
      <c r="K91" s="170"/>
    </row>
    <row r="92" spans="1:18" x14ac:dyDescent="0.25">
      <c r="A92" s="164">
        <v>41578</v>
      </c>
      <c r="B92" s="167">
        <v>2804</v>
      </c>
      <c r="C92" s="167">
        <v>28554</v>
      </c>
      <c r="D92" s="167">
        <v>1123</v>
      </c>
      <c r="E92" s="167">
        <f t="shared" si="6"/>
        <v>0.28612303290414881</v>
      </c>
      <c r="F92" s="167">
        <f t="shared" si="6"/>
        <v>4.989520903040777</v>
      </c>
      <c r="G92" s="167">
        <f t="shared" si="6"/>
        <v>-1.3181019332161688</v>
      </c>
      <c r="H92" s="167">
        <f t="shared" si="7"/>
        <v>1.5191862152427051</v>
      </c>
      <c r="K92" s="170"/>
    </row>
    <row r="93" spans="1:18" x14ac:dyDescent="0.25">
      <c r="A93" s="164">
        <v>41607</v>
      </c>
      <c r="B93" s="167">
        <v>2810</v>
      </c>
      <c r="C93" s="167">
        <v>28105</v>
      </c>
      <c r="D93" s="167">
        <v>1109</v>
      </c>
      <c r="E93" s="167">
        <f t="shared" si="6"/>
        <v>0.21398002853067047</v>
      </c>
      <c r="F93" s="167">
        <f t="shared" si="6"/>
        <v>-1.5724592001120683</v>
      </c>
      <c r="G93" s="167">
        <f t="shared" si="6"/>
        <v>-1.2466607301869992</v>
      </c>
      <c r="H93" s="167">
        <f t="shared" si="7"/>
        <v>-0.25436062489721906</v>
      </c>
      <c r="K93" s="170"/>
    </row>
    <row r="94" spans="1:18" x14ac:dyDescent="0.25">
      <c r="A94" s="164">
        <v>41639</v>
      </c>
      <c r="B94" s="167">
        <v>2857</v>
      </c>
      <c r="C94" s="167">
        <v>28696</v>
      </c>
      <c r="D94" s="167">
        <v>1121</v>
      </c>
      <c r="E94" s="167">
        <f t="shared" si="6"/>
        <v>1.6725978647686832</v>
      </c>
      <c r="F94" s="167">
        <f t="shared" si="6"/>
        <v>2.1028286781711438</v>
      </c>
      <c r="G94" s="167">
        <f t="shared" si="6"/>
        <v>1.0820559062218214</v>
      </c>
      <c r="H94" s="167">
        <f t="shared" si="7"/>
        <v>1.7853890497591598</v>
      </c>
      <c r="K94" s="170"/>
    </row>
    <row r="95" spans="1:18" x14ac:dyDescent="0.25">
      <c r="A95" s="164">
        <v>41670</v>
      </c>
      <c r="B95" s="167">
        <v>2900</v>
      </c>
      <c r="C95" s="167">
        <v>27746</v>
      </c>
      <c r="D95" s="167">
        <v>1076</v>
      </c>
      <c r="E95" s="167">
        <f t="shared" si="6"/>
        <v>1.5050752537626881</v>
      </c>
      <c r="F95" s="167">
        <f t="shared" si="6"/>
        <v>-3.3105659325341512</v>
      </c>
      <c r="G95" s="167">
        <f t="shared" si="6"/>
        <v>-4.0142729705619979</v>
      </c>
      <c r="H95" s="167">
        <f t="shared" si="7"/>
        <v>0.24258588696958261</v>
      </c>
      <c r="K95" s="170"/>
    </row>
    <row r="96" spans="1:18" x14ac:dyDescent="0.25">
      <c r="A96" s="164">
        <v>41698</v>
      </c>
      <c r="B96" s="167">
        <v>2889</v>
      </c>
      <c r="C96" s="167">
        <v>29160</v>
      </c>
      <c r="D96" s="167">
        <v>1100</v>
      </c>
      <c r="E96" s="167">
        <f t="shared" si="6"/>
        <v>-0.37931034482758619</v>
      </c>
      <c r="F96" s="167">
        <f t="shared" si="6"/>
        <v>5.0962300872197792</v>
      </c>
      <c r="G96" s="167">
        <f t="shared" si="6"/>
        <v>2.2304832713754648</v>
      </c>
      <c r="H96" s="167">
        <f t="shared" si="7"/>
        <v>1.0561810760192711</v>
      </c>
      <c r="K96" s="170"/>
    </row>
    <row r="97" spans="1:11" x14ac:dyDescent="0.25">
      <c r="A97" s="164">
        <v>41729</v>
      </c>
      <c r="B97" s="167">
        <v>2906</v>
      </c>
      <c r="C97" s="167">
        <v>30467</v>
      </c>
      <c r="D97" s="167">
        <v>1119</v>
      </c>
      <c r="E97" s="167">
        <f t="shared" si="6"/>
        <v>0.58843890619591555</v>
      </c>
      <c r="F97" s="167">
        <f t="shared" si="6"/>
        <v>4.482167352537723</v>
      </c>
      <c r="G97" s="167">
        <f t="shared" si="6"/>
        <v>1.7272727272727273</v>
      </c>
      <c r="H97" s="167">
        <f t="shared" si="7"/>
        <v>1.6092356431565535</v>
      </c>
      <c r="K97" s="170"/>
    </row>
    <row r="98" spans="1:11" x14ac:dyDescent="0.25">
      <c r="A98" s="164">
        <v>41759</v>
      </c>
      <c r="B98" s="167">
        <v>2921</v>
      </c>
      <c r="C98" s="167">
        <v>31531</v>
      </c>
      <c r="D98" s="167">
        <v>1098</v>
      </c>
      <c r="E98" s="167">
        <f t="shared" si="6"/>
        <v>0.51617343427391604</v>
      </c>
      <c r="F98" s="167">
        <f t="shared" si="6"/>
        <v>3.4923031476679687</v>
      </c>
      <c r="G98" s="167">
        <f t="shared" si="6"/>
        <v>-1.8766756032171581</v>
      </c>
      <c r="H98" s="167">
        <f t="shared" si="7"/>
        <v>1.2964085080643462</v>
      </c>
      <c r="K98" s="170"/>
    </row>
    <row r="99" spans="1:11" x14ac:dyDescent="0.25">
      <c r="A99" s="164">
        <v>41789</v>
      </c>
      <c r="B99" s="167">
        <v>2942</v>
      </c>
      <c r="C99" s="167">
        <v>32219</v>
      </c>
      <c r="D99" s="167">
        <v>1113</v>
      </c>
      <c r="E99" s="167">
        <f t="shared" ref="E99:G130" si="8">100*(B99-B98)/B98</f>
        <v>0.71893187264635394</v>
      </c>
      <c r="F99" s="167">
        <f t="shared" si="8"/>
        <v>2.1819796390853448</v>
      </c>
      <c r="G99" s="167">
        <f t="shared" si="8"/>
        <v>1.3661202185792349</v>
      </c>
      <c r="H99" s="167">
        <f t="shared" si="7"/>
        <v>1.1024908232584465</v>
      </c>
      <c r="K99" s="170"/>
    </row>
    <row r="100" spans="1:11" x14ac:dyDescent="0.25">
      <c r="A100" s="164">
        <v>41820</v>
      </c>
      <c r="B100" s="167">
        <v>2969</v>
      </c>
      <c r="C100" s="167">
        <v>32849</v>
      </c>
      <c r="D100" s="167">
        <v>1120</v>
      </c>
      <c r="E100" s="167">
        <f t="shared" si="8"/>
        <v>0.91774303195105367</v>
      </c>
      <c r="F100" s="167">
        <f t="shared" si="8"/>
        <v>1.9553679505881623</v>
      </c>
      <c r="G100" s="167">
        <f t="shared" si="8"/>
        <v>0.62893081761006286</v>
      </c>
      <c r="H100" s="167">
        <f t="shared" si="7"/>
        <v>1.1897712851569004</v>
      </c>
      <c r="K100" s="170"/>
    </row>
    <row r="101" spans="1:11" x14ac:dyDescent="0.25">
      <c r="A101" s="164">
        <v>41851</v>
      </c>
      <c r="B101" s="167">
        <v>2966</v>
      </c>
      <c r="C101" s="167">
        <v>32813</v>
      </c>
      <c r="D101" s="167">
        <v>1111</v>
      </c>
      <c r="E101" s="167">
        <f t="shared" si="8"/>
        <v>-0.10104412260020208</v>
      </c>
      <c r="F101" s="167">
        <f t="shared" si="8"/>
        <v>-0.10959237724131633</v>
      </c>
      <c r="G101" s="167">
        <f t="shared" si="8"/>
        <v>-0.8035714285714286</v>
      </c>
      <c r="H101" s="167">
        <f t="shared" si="7"/>
        <v>-0.10328517066979426</v>
      </c>
      <c r="K101" s="170"/>
    </row>
    <row r="102" spans="1:11" x14ac:dyDescent="0.25">
      <c r="A102" s="164">
        <v>41880</v>
      </c>
      <c r="B102" s="167">
        <v>2958</v>
      </c>
      <c r="C102" s="167">
        <v>32900</v>
      </c>
      <c r="D102" s="167">
        <v>1135</v>
      </c>
      <c r="E102" s="167">
        <f t="shared" si="8"/>
        <v>-0.26972353337828725</v>
      </c>
      <c r="F102" s="167">
        <f t="shared" si="8"/>
        <v>0.26513881693231339</v>
      </c>
      <c r="G102" s="167">
        <f t="shared" si="8"/>
        <v>2.1602160216021602</v>
      </c>
      <c r="H102" s="167">
        <f t="shared" si="7"/>
        <v>-0.12950170183435278</v>
      </c>
      <c r="K102" s="170"/>
    </row>
    <row r="103" spans="1:11" x14ac:dyDescent="0.25">
      <c r="A103" s="164">
        <v>41912</v>
      </c>
      <c r="B103" s="167">
        <v>3011</v>
      </c>
      <c r="C103" s="167">
        <v>32314</v>
      </c>
      <c r="D103" s="167">
        <v>1123</v>
      </c>
      <c r="E103" s="167">
        <f t="shared" si="8"/>
        <v>1.7917511832319135</v>
      </c>
      <c r="F103" s="167">
        <f t="shared" si="8"/>
        <v>-1.7811550151975684</v>
      </c>
      <c r="G103" s="167">
        <f t="shared" si="8"/>
        <v>-1.0572687224669604</v>
      </c>
      <c r="H103" s="167">
        <f t="shared" si="7"/>
        <v>0.85506261127035765</v>
      </c>
      <c r="K103" s="170"/>
    </row>
    <row r="104" spans="1:11" x14ac:dyDescent="0.25">
      <c r="A104" s="164">
        <v>41943</v>
      </c>
      <c r="B104" s="167">
        <v>2947</v>
      </c>
      <c r="C104" s="167">
        <v>32259</v>
      </c>
      <c r="D104" s="167">
        <v>1130</v>
      </c>
      <c r="E104" s="167">
        <f t="shared" si="8"/>
        <v>-2.1255396878113584</v>
      </c>
      <c r="F104" s="167">
        <f t="shared" si="8"/>
        <v>-0.17020486476449836</v>
      </c>
      <c r="G104" s="167">
        <f t="shared" si="8"/>
        <v>0.62333036509349959</v>
      </c>
      <c r="H104" s="167">
        <f t="shared" si="7"/>
        <v>-1.6129206436797721</v>
      </c>
      <c r="K104" s="170"/>
    </row>
    <row r="105" spans="1:11" x14ac:dyDescent="0.25">
      <c r="A105" s="164">
        <v>41971</v>
      </c>
      <c r="B105" s="167">
        <v>2954</v>
      </c>
      <c r="C105" s="167">
        <v>32528</v>
      </c>
      <c r="D105" s="167">
        <v>1150</v>
      </c>
      <c r="E105" s="167">
        <f t="shared" si="8"/>
        <v>0.23752969121140141</v>
      </c>
      <c r="F105" s="167">
        <f t="shared" si="8"/>
        <v>0.83387581760128959</v>
      </c>
      <c r="G105" s="167">
        <f t="shared" si="8"/>
        <v>1.7699115044247788</v>
      </c>
      <c r="H105" s="167">
        <f t="shared" si="7"/>
        <v>0.39387037894019705</v>
      </c>
      <c r="K105" s="170"/>
    </row>
    <row r="106" spans="1:11" x14ac:dyDescent="0.25">
      <c r="A106" s="164">
        <v>42004</v>
      </c>
      <c r="B106" s="167">
        <v>2976</v>
      </c>
      <c r="C106" s="167">
        <v>32198</v>
      </c>
      <c r="D106" s="167">
        <v>1140</v>
      </c>
      <c r="E106" s="167">
        <f t="shared" si="8"/>
        <v>0.7447528774542993</v>
      </c>
      <c r="F106" s="167">
        <f t="shared" si="8"/>
        <v>-1.014510575504181</v>
      </c>
      <c r="G106" s="167">
        <f t="shared" si="8"/>
        <v>-0.86956521739130432</v>
      </c>
      <c r="H106" s="167">
        <f t="shared" si="7"/>
        <v>0.28353674619132729</v>
      </c>
      <c r="K106" s="170"/>
    </row>
    <row r="107" spans="1:11" x14ac:dyDescent="0.25">
      <c r="A107" s="164">
        <v>42034</v>
      </c>
      <c r="B107" s="167">
        <v>2988</v>
      </c>
      <c r="C107" s="167">
        <v>33419</v>
      </c>
      <c r="D107" s="167">
        <v>1175</v>
      </c>
      <c r="E107" s="167">
        <f t="shared" si="8"/>
        <v>0.40322580645161288</v>
      </c>
      <c r="F107" s="167">
        <f t="shared" si="8"/>
        <v>3.7921610037890554</v>
      </c>
      <c r="G107" s="167">
        <f t="shared" si="8"/>
        <v>3.0701754385964914</v>
      </c>
      <c r="H107" s="167">
        <f t="shared" si="7"/>
        <v>1.2916837553076794</v>
      </c>
      <c r="K107" s="170"/>
    </row>
    <row r="108" spans="1:11" x14ac:dyDescent="0.25">
      <c r="A108" s="164">
        <v>42062</v>
      </c>
      <c r="B108" s="167">
        <v>2999</v>
      </c>
      <c r="C108" s="167">
        <v>33987</v>
      </c>
      <c r="D108" s="167">
        <v>1150</v>
      </c>
      <c r="E108" s="167">
        <f t="shared" si="8"/>
        <v>0.36813922356091033</v>
      </c>
      <c r="F108" s="167">
        <f t="shared" si="8"/>
        <v>1.6996319458990394</v>
      </c>
      <c r="G108" s="167">
        <f t="shared" si="8"/>
        <v>-2.1276595744680851</v>
      </c>
      <c r="H108" s="167">
        <f t="shared" si="7"/>
        <v>0.71720913139284592</v>
      </c>
      <c r="K108" s="170"/>
    </row>
    <row r="109" spans="1:11" x14ac:dyDescent="0.25">
      <c r="A109" s="164">
        <v>42094</v>
      </c>
      <c r="B109" s="167">
        <v>3009</v>
      </c>
      <c r="C109" s="167">
        <v>33361</v>
      </c>
      <c r="D109" s="167">
        <v>1145</v>
      </c>
      <c r="E109" s="167">
        <f t="shared" si="8"/>
        <v>0.33344448149383127</v>
      </c>
      <c r="F109" s="167">
        <f t="shared" si="8"/>
        <v>-1.8418807190984787</v>
      </c>
      <c r="G109" s="167">
        <f t="shared" si="8"/>
        <v>-0.43478260869565216</v>
      </c>
      <c r="H109" s="167">
        <f t="shared" si="7"/>
        <v>-0.23684820397797274</v>
      </c>
      <c r="K109" s="170"/>
    </row>
    <row r="110" spans="1:11" x14ac:dyDescent="0.25">
      <c r="A110" s="164">
        <v>42124</v>
      </c>
      <c r="B110" s="167">
        <v>3038</v>
      </c>
      <c r="C110" s="167">
        <v>35010</v>
      </c>
      <c r="D110" s="167">
        <v>1124</v>
      </c>
      <c r="E110" s="167">
        <f t="shared" si="8"/>
        <v>0.96377534064473247</v>
      </c>
      <c r="F110" s="167">
        <f t="shared" si="8"/>
        <v>4.9428973951620154</v>
      </c>
      <c r="G110" s="167">
        <f t="shared" si="8"/>
        <v>-1.8340611353711791</v>
      </c>
      <c r="H110" s="167">
        <f t="shared" si="7"/>
        <v>2.0069592383132346</v>
      </c>
      <c r="K110" s="170"/>
    </row>
    <row r="111" spans="1:11" x14ac:dyDescent="0.25">
      <c r="A111" s="164">
        <v>42153</v>
      </c>
      <c r="B111" s="167">
        <v>3044</v>
      </c>
      <c r="C111" s="167">
        <v>33903</v>
      </c>
      <c r="D111" s="167">
        <v>1120</v>
      </c>
      <c r="E111" s="167">
        <f t="shared" si="8"/>
        <v>0.19749835418038184</v>
      </c>
      <c r="F111" s="167">
        <f t="shared" si="8"/>
        <v>-3.1619537275064267</v>
      </c>
      <c r="G111" s="167">
        <f t="shared" si="8"/>
        <v>-0.35587188612099646</v>
      </c>
      <c r="H111" s="167">
        <f t="shared" si="7"/>
        <v>-0.68323016986848106</v>
      </c>
      <c r="K111" s="170"/>
    </row>
    <row r="112" spans="1:11" x14ac:dyDescent="0.25">
      <c r="A112" s="164">
        <v>42185</v>
      </c>
      <c r="B112" s="167">
        <v>3025</v>
      </c>
      <c r="C112" s="167">
        <v>33229</v>
      </c>
      <c r="D112" s="167">
        <v>1120</v>
      </c>
      <c r="E112" s="167">
        <f t="shared" si="8"/>
        <v>-0.62417871222076216</v>
      </c>
      <c r="F112" s="167">
        <f t="shared" si="8"/>
        <v>-1.9880246585847861</v>
      </c>
      <c r="G112" s="167">
        <f t="shared" si="8"/>
        <v>0</v>
      </c>
      <c r="H112" s="167">
        <f t="shared" si="7"/>
        <v>-0.98173048298794163</v>
      </c>
      <c r="K112" s="170"/>
    </row>
    <row r="113" spans="1:11" x14ac:dyDescent="0.25">
      <c r="A113" s="164">
        <v>42216</v>
      </c>
      <c r="B113" s="167">
        <v>3051</v>
      </c>
      <c r="C113" s="167">
        <v>33503</v>
      </c>
      <c r="D113" s="167">
        <v>1109</v>
      </c>
      <c r="E113" s="167">
        <f t="shared" si="8"/>
        <v>0.85950413223140498</v>
      </c>
      <c r="F113" s="167">
        <f t="shared" si="8"/>
        <v>0.82458093833699475</v>
      </c>
      <c r="G113" s="167">
        <f t="shared" si="8"/>
        <v>-0.9821428571428571</v>
      </c>
      <c r="H113" s="167">
        <f t="shared" si="7"/>
        <v>0.85034852109484627</v>
      </c>
      <c r="K113" s="170"/>
    </row>
    <row r="114" spans="1:11" x14ac:dyDescent="0.25">
      <c r="A114" s="164">
        <v>42247</v>
      </c>
      <c r="B114" s="167">
        <v>3092</v>
      </c>
      <c r="C114" s="167">
        <v>32688</v>
      </c>
      <c r="D114" s="167">
        <v>1113</v>
      </c>
      <c r="E114" s="167">
        <f t="shared" si="8"/>
        <v>1.3438216978039987</v>
      </c>
      <c r="F114" s="167">
        <f t="shared" si="8"/>
        <v>-2.4326179745097454</v>
      </c>
      <c r="G114" s="167">
        <f t="shared" si="8"/>
        <v>0.36068530207394051</v>
      </c>
      <c r="H114" s="167">
        <f t="shared" si="7"/>
        <v>0.35377390525025532</v>
      </c>
      <c r="K114" s="170"/>
    </row>
    <row r="115" spans="1:11" x14ac:dyDescent="0.25">
      <c r="A115" s="164">
        <v>42277</v>
      </c>
      <c r="B115" s="167">
        <v>3118</v>
      </c>
      <c r="C115" s="167">
        <v>32264</v>
      </c>
      <c r="D115" s="167">
        <v>1113</v>
      </c>
      <c r="E115" s="167">
        <f t="shared" si="8"/>
        <v>0.8408796895213454</v>
      </c>
      <c r="F115" s="167">
        <f t="shared" si="8"/>
        <v>-1.2971120900636319</v>
      </c>
      <c r="G115" s="167">
        <f t="shared" si="8"/>
        <v>0</v>
      </c>
      <c r="H115" s="167">
        <f t="shared" si="7"/>
        <v>0.28037449842781531</v>
      </c>
      <c r="K115" s="170"/>
    </row>
    <row r="116" spans="1:11" x14ac:dyDescent="0.25">
      <c r="A116" s="164">
        <v>42307</v>
      </c>
      <c r="B116" s="167">
        <v>3183</v>
      </c>
      <c r="C116" s="167">
        <v>35000</v>
      </c>
      <c r="D116" s="167">
        <v>1107</v>
      </c>
      <c r="E116" s="167">
        <f t="shared" si="8"/>
        <v>2.0846696600384864</v>
      </c>
      <c r="F116" s="167">
        <f t="shared" si="8"/>
        <v>8.4800396727002223</v>
      </c>
      <c r="G116" s="167">
        <f t="shared" si="8"/>
        <v>-0.53908355795148244</v>
      </c>
      <c r="H116" s="167">
        <f t="shared" si="7"/>
        <v>3.7613076061392219</v>
      </c>
      <c r="K116" s="170"/>
    </row>
    <row r="117" spans="1:11" x14ac:dyDescent="0.25">
      <c r="A117" s="164">
        <v>42338</v>
      </c>
      <c r="B117" s="167">
        <v>3182</v>
      </c>
      <c r="C117" s="167">
        <v>34084</v>
      </c>
      <c r="D117" s="167">
        <v>1099</v>
      </c>
      <c r="E117" s="167">
        <f t="shared" si="8"/>
        <v>-3.1416902293433864E-2</v>
      </c>
      <c r="F117" s="167">
        <f t="shared" si="8"/>
        <v>-2.617142857142857</v>
      </c>
      <c r="G117" s="167">
        <f t="shared" si="8"/>
        <v>-0.72267389340560073</v>
      </c>
      <c r="H117" s="167">
        <f t="shared" si="7"/>
        <v>-0.70930203114300228</v>
      </c>
      <c r="K117" s="170"/>
    </row>
    <row r="118" spans="1:11" x14ac:dyDescent="0.25">
      <c r="A118" s="164">
        <v>42369</v>
      </c>
      <c r="B118" s="167">
        <v>3292</v>
      </c>
      <c r="C118" s="167">
        <v>33881</v>
      </c>
      <c r="D118" s="167">
        <v>1039</v>
      </c>
      <c r="E118" s="167">
        <f t="shared" si="8"/>
        <v>3.4569453174104336</v>
      </c>
      <c r="F118" s="167">
        <f t="shared" si="8"/>
        <v>-0.5955873723741345</v>
      </c>
      <c r="G118" s="167">
        <f t="shared" si="8"/>
        <v>-5.4595086442220202</v>
      </c>
      <c r="H118" s="167">
        <f t="shared" si="7"/>
        <v>2.3945157940152648</v>
      </c>
      <c r="K118" s="170"/>
    </row>
    <row r="119" spans="1:11" x14ac:dyDescent="0.25">
      <c r="A119" s="164">
        <v>42398</v>
      </c>
      <c r="B119" s="167">
        <v>3298</v>
      </c>
      <c r="C119" s="167">
        <v>33296</v>
      </c>
      <c r="D119" s="167">
        <v>1054</v>
      </c>
      <c r="E119" s="167">
        <f t="shared" si="8"/>
        <v>0.18226002430133659</v>
      </c>
      <c r="F119" s="167">
        <f t="shared" si="8"/>
        <v>-1.7266314453528526</v>
      </c>
      <c r="G119" s="167">
        <f t="shared" si="8"/>
        <v>1.4436958614051973</v>
      </c>
      <c r="H119" s="167">
        <f t="shared" si="7"/>
        <v>-0.31818323979099639</v>
      </c>
      <c r="K119" s="170"/>
    </row>
    <row r="120" spans="1:11" x14ac:dyDescent="0.25">
      <c r="A120" s="164">
        <v>42429</v>
      </c>
      <c r="B120" s="167">
        <v>3345</v>
      </c>
      <c r="C120" s="167">
        <v>34233</v>
      </c>
      <c r="D120" s="167">
        <v>1050</v>
      </c>
      <c r="E120" s="167">
        <f t="shared" si="8"/>
        <v>1.4251061249241965</v>
      </c>
      <c r="F120" s="167">
        <f t="shared" si="8"/>
        <v>2.8141518500720806</v>
      </c>
      <c r="G120" s="167">
        <f t="shared" si="8"/>
        <v>-0.37950664136622392</v>
      </c>
      <c r="H120" s="167">
        <f t="shared" si="7"/>
        <v>1.7892643834524646</v>
      </c>
      <c r="K120" s="170"/>
    </row>
    <row r="121" spans="1:11" x14ac:dyDescent="0.25">
      <c r="A121" s="164">
        <v>42460</v>
      </c>
      <c r="B121" s="167">
        <v>3366</v>
      </c>
      <c r="C121" s="167">
        <v>36256</v>
      </c>
      <c r="D121" s="167">
        <v>1076</v>
      </c>
      <c r="E121" s="167">
        <f t="shared" si="8"/>
        <v>0.62780269058295968</v>
      </c>
      <c r="F121" s="167">
        <f t="shared" si="8"/>
        <v>5.9095025268016244</v>
      </c>
      <c r="G121" s="167">
        <f t="shared" si="8"/>
        <v>2.4761904761904763</v>
      </c>
      <c r="H121" s="167">
        <f t="shared" si="7"/>
        <v>2.0124760259229451</v>
      </c>
      <c r="K121" s="170"/>
    </row>
    <row r="122" spans="1:11" x14ac:dyDescent="0.25">
      <c r="A122" s="164">
        <v>42489</v>
      </c>
      <c r="B122" s="167">
        <v>3359</v>
      </c>
      <c r="C122" s="167">
        <v>36983</v>
      </c>
      <c r="D122" s="167">
        <v>1071</v>
      </c>
      <c r="E122" s="167">
        <f t="shared" si="8"/>
        <v>-0.20796197266785502</v>
      </c>
      <c r="F122" s="167">
        <f t="shared" si="8"/>
        <v>2.0051853486319504</v>
      </c>
      <c r="G122" s="167">
        <f t="shared" si="8"/>
        <v>-0.46468401486988847</v>
      </c>
      <c r="H122" s="167">
        <f t="shared" si="7"/>
        <v>0.37224632467703889</v>
      </c>
      <c r="K122" s="170"/>
    </row>
    <row r="123" spans="1:11" x14ac:dyDescent="0.25">
      <c r="A123" s="164">
        <v>42521</v>
      </c>
      <c r="B123" s="167">
        <v>3473</v>
      </c>
      <c r="C123" s="167">
        <v>37741</v>
      </c>
      <c r="D123" s="167">
        <v>1060</v>
      </c>
      <c r="E123" s="167">
        <f t="shared" si="8"/>
        <v>3.3938672223876152</v>
      </c>
      <c r="F123" s="167">
        <f t="shared" si="8"/>
        <v>2.0495903523240409</v>
      </c>
      <c r="G123" s="167">
        <f t="shared" si="8"/>
        <v>-1.0270774976657329</v>
      </c>
      <c r="H123" s="167">
        <f t="shared" si="7"/>
        <v>3.0414457880078269</v>
      </c>
      <c r="K123" s="170"/>
    </row>
    <row r="124" spans="1:11" x14ac:dyDescent="0.25">
      <c r="A124" s="164">
        <v>42551</v>
      </c>
      <c r="B124" s="167">
        <v>3384</v>
      </c>
      <c r="C124" s="167">
        <v>36569</v>
      </c>
      <c r="D124" s="167">
        <v>1097</v>
      </c>
      <c r="E124" s="167">
        <f t="shared" si="8"/>
        <v>-2.5626259717823205</v>
      </c>
      <c r="F124" s="167">
        <f t="shared" si="8"/>
        <v>-3.1053761161601443</v>
      </c>
      <c r="G124" s="167">
        <f t="shared" si="8"/>
        <v>3.4905660377358489</v>
      </c>
      <c r="H124" s="167">
        <f t="shared" si="7"/>
        <v>-2.7049157174743677</v>
      </c>
    </row>
    <row r="125" spans="1:11" x14ac:dyDescent="0.25">
      <c r="A125" s="164">
        <v>42580</v>
      </c>
      <c r="B125" s="167">
        <v>3360</v>
      </c>
      <c r="C125" s="167">
        <v>37096</v>
      </c>
      <c r="D125" s="167">
        <v>1090</v>
      </c>
      <c r="E125" s="167">
        <f t="shared" si="8"/>
        <v>-0.70921985815602839</v>
      </c>
      <c r="F125" s="167">
        <f t="shared" si="8"/>
        <v>1.441111323798846</v>
      </c>
      <c r="G125" s="167">
        <f t="shared" si="8"/>
        <v>-0.6381039197812215</v>
      </c>
      <c r="H125" s="167">
        <f t="shared" si="7"/>
        <v>-0.14547971509362045</v>
      </c>
    </row>
    <row r="126" spans="1:11" x14ac:dyDescent="0.25">
      <c r="A126" s="164">
        <v>42613</v>
      </c>
      <c r="B126" s="167">
        <v>3433</v>
      </c>
      <c r="C126" s="167">
        <v>37497</v>
      </c>
      <c r="D126" s="167">
        <v>1081</v>
      </c>
      <c r="E126" s="167">
        <f t="shared" si="8"/>
        <v>2.1726190476190474</v>
      </c>
      <c r="F126" s="167">
        <f t="shared" si="8"/>
        <v>1.0809790813025664</v>
      </c>
      <c r="G126" s="167">
        <f t="shared" si="8"/>
        <v>-0.82568807339449546</v>
      </c>
      <c r="H126" s="167">
        <f t="shared" si="7"/>
        <v>1.8864299925869559</v>
      </c>
    </row>
    <row r="127" spans="1:11" x14ac:dyDescent="0.25">
      <c r="A127" s="164">
        <v>42643</v>
      </c>
      <c r="B127" s="167">
        <v>3406</v>
      </c>
      <c r="C127" s="167">
        <v>37532</v>
      </c>
      <c r="D127" s="167">
        <v>1108</v>
      </c>
      <c r="E127" s="167">
        <f t="shared" si="8"/>
        <v>-0.78648412467229833</v>
      </c>
      <c r="F127" s="167">
        <f t="shared" si="8"/>
        <v>9.3340800597381118E-2</v>
      </c>
      <c r="G127" s="167">
        <f t="shared" si="8"/>
        <v>2.497687326549491</v>
      </c>
      <c r="H127" s="167">
        <f t="shared" si="7"/>
        <v>-0.55582541152581899</v>
      </c>
    </row>
    <row r="128" spans="1:11" x14ac:dyDescent="0.25">
      <c r="A128" s="164">
        <v>42674</v>
      </c>
      <c r="B128" s="167">
        <v>3342</v>
      </c>
      <c r="C128" s="167">
        <v>36351</v>
      </c>
      <c r="D128" s="167">
        <v>1092</v>
      </c>
      <c r="E128" s="167">
        <f t="shared" si="8"/>
        <v>-1.8790369935408104</v>
      </c>
      <c r="F128" s="167">
        <f t="shared" si="8"/>
        <v>-3.1466481935415112</v>
      </c>
      <c r="G128" s="167">
        <f t="shared" si="8"/>
        <v>-1.4440433212996391</v>
      </c>
      <c r="H128" s="167">
        <f t="shared" si="7"/>
        <v>-2.2113594529267573</v>
      </c>
    </row>
    <row r="129" spans="1:8" x14ac:dyDescent="0.25">
      <c r="A129" s="164">
        <v>42704</v>
      </c>
      <c r="B129" s="167">
        <v>3386</v>
      </c>
      <c r="C129" s="167">
        <v>36443</v>
      </c>
      <c r="D129" s="167">
        <v>1085</v>
      </c>
      <c r="E129" s="167">
        <f t="shared" si="8"/>
        <v>1.3165769000598444</v>
      </c>
      <c r="F129" s="167">
        <f t="shared" si="8"/>
        <v>0.25308794806195151</v>
      </c>
      <c r="G129" s="167">
        <f t="shared" si="8"/>
        <v>-0.64102564102564108</v>
      </c>
      <c r="H129" s="167">
        <f t="shared" si="7"/>
        <v>1.0377680322202363</v>
      </c>
    </row>
    <row r="130" spans="1:8" x14ac:dyDescent="0.25">
      <c r="A130" s="164">
        <v>42734</v>
      </c>
      <c r="B130" s="167">
        <v>3394</v>
      </c>
      <c r="C130" s="167">
        <v>36741</v>
      </c>
      <c r="D130" s="167">
        <v>1097</v>
      </c>
      <c r="E130" s="167">
        <f t="shared" si="8"/>
        <v>0.23626698168930893</v>
      </c>
      <c r="F130" s="167">
        <f t="shared" si="8"/>
        <v>0.81771533627857207</v>
      </c>
      <c r="G130" s="167">
        <f t="shared" si="8"/>
        <v>1.1059907834101383</v>
      </c>
      <c r="H130" s="167">
        <f t="shared" si="7"/>
        <v>0.38870200495534435</v>
      </c>
    </row>
    <row r="131" spans="1:8" x14ac:dyDescent="0.25">
      <c r="A131" s="164">
        <v>42766</v>
      </c>
      <c r="B131" s="167">
        <v>3398</v>
      </c>
      <c r="C131" s="167">
        <v>37446</v>
      </c>
      <c r="D131" s="167">
        <v>1089</v>
      </c>
      <c r="E131" s="167">
        <f t="shared" ref="E131:G159" si="9">100*(B131-B130)/B130</f>
        <v>0.11785503830288745</v>
      </c>
      <c r="F131" s="167">
        <f t="shared" si="9"/>
        <v>1.9188372662692905</v>
      </c>
      <c r="G131" s="167">
        <f t="shared" si="9"/>
        <v>-0.72926162260711025</v>
      </c>
      <c r="H131" s="167">
        <f t="shared" ref="H131:H159" si="10">E131*$K$12+F131*$K$13+G131*$K$14</f>
        <v>0.59000834935273361</v>
      </c>
    </row>
    <row r="132" spans="1:8" x14ac:dyDescent="0.25">
      <c r="A132" s="164">
        <v>42794</v>
      </c>
      <c r="B132" s="167">
        <v>3382</v>
      </c>
      <c r="C132" s="167">
        <v>37063</v>
      </c>
      <c r="D132" s="167">
        <v>1099</v>
      </c>
      <c r="E132" s="167">
        <f t="shared" si="9"/>
        <v>-0.47086521483225424</v>
      </c>
      <c r="F132" s="167">
        <f t="shared" si="9"/>
        <v>-1.0228061742242163</v>
      </c>
      <c r="G132" s="167">
        <f t="shared" si="9"/>
        <v>0.91827364554637281</v>
      </c>
      <c r="H132" s="167">
        <f t="shared" si="10"/>
        <v>-0.61556445273495852</v>
      </c>
    </row>
    <row r="133" spans="1:8" x14ac:dyDescent="0.25">
      <c r="A133" s="164">
        <v>42825</v>
      </c>
      <c r="B133" s="167">
        <v>3431</v>
      </c>
      <c r="C133" s="167">
        <v>37649</v>
      </c>
      <c r="D133" s="167">
        <v>1107</v>
      </c>
      <c r="E133" s="167">
        <f t="shared" si="9"/>
        <v>1.4488468361916027</v>
      </c>
      <c r="F133" s="167">
        <f t="shared" si="9"/>
        <v>1.5810916547500202</v>
      </c>
      <c r="G133" s="167">
        <f t="shared" si="9"/>
        <v>0.7279344858962693</v>
      </c>
      <c r="H133" s="167">
        <f t="shared" si="10"/>
        <v>1.4835167193801448</v>
      </c>
    </row>
    <row r="134" spans="1:8" x14ac:dyDescent="0.25">
      <c r="A134" s="164">
        <v>42853</v>
      </c>
      <c r="B134" s="167">
        <v>3439</v>
      </c>
      <c r="C134" s="167">
        <v>38447</v>
      </c>
      <c r="D134" s="167">
        <v>1098</v>
      </c>
      <c r="E134" s="167">
        <f t="shared" si="9"/>
        <v>0.23316817254444769</v>
      </c>
      <c r="F134" s="167">
        <f t="shared" si="9"/>
        <v>2.1195782092485858</v>
      </c>
      <c r="G134" s="167">
        <f t="shared" si="9"/>
        <v>-0.81300813008130079</v>
      </c>
      <c r="H134" s="167">
        <f t="shared" si="10"/>
        <v>0.72771760901457117</v>
      </c>
    </row>
    <row r="135" spans="1:8" x14ac:dyDescent="0.25">
      <c r="A135" s="164">
        <v>42886</v>
      </c>
      <c r="B135" s="167">
        <v>3447</v>
      </c>
      <c r="C135" s="167">
        <v>38328</v>
      </c>
      <c r="D135" s="167">
        <v>1109</v>
      </c>
      <c r="E135" s="167">
        <f t="shared" si="9"/>
        <v>0.23262576330328583</v>
      </c>
      <c r="F135" s="167">
        <f t="shared" si="9"/>
        <v>-0.30951699742502664</v>
      </c>
      <c r="G135" s="167">
        <f t="shared" si="9"/>
        <v>1.0018214936247722</v>
      </c>
      <c r="H135" s="167">
        <f t="shared" si="10"/>
        <v>9.049526758694719E-2</v>
      </c>
    </row>
    <row r="136" spans="1:8" x14ac:dyDescent="0.25">
      <c r="A136" s="164">
        <v>42916</v>
      </c>
      <c r="B136" s="167">
        <v>3436</v>
      </c>
      <c r="C136" s="167">
        <v>37338</v>
      </c>
      <c r="D136" s="167">
        <v>1104</v>
      </c>
      <c r="E136" s="167">
        <f t="shared" si="9"/>
        <v>-0.3191180736872643</v>
      </c>
      <c r="F136" s="167">
        <f t="shared" si="9"/>
        <v>-2.5829680651221039</v>
      </c>
      <c r="G136" s="167">
        <f t="shared" si="9"/>
        <v>-0.45085662759242562</v>
      </c>
      <c r="H136" s="167">
        <f t="shared" si="10"/>
        <v>-0.91261880584408506</v>
      </c>
    </row>
    <row r="137" spans="1:8" x14ac:dyDescent="0.25">
      <c r="A137" s="164">
        <v>42947</v>
      </c>
      <c r="B137" s="167">
        <v>3496</v>
      </c>
      <c r="C137" s="167">
        <v>38776</v>
      </c>
      <c r="D137" s="167">
        <v>1093</v>
      </c>
      <c r="E137" s="167">
        <f t="shared" si="9"/>
        <v>1.7462165308498254</v>
      </c>
      <c r="F137" s="167">
        <f t="shared" si="9"/>
        <v>3.8513043012480583</v>
      </c>
      <c r="G137" s="167">
        <f t="shared" si="9"/>
        <v>-0.99637681159420288</v>
      </c>
      <c r="H137" s="167">
        <f t="shared" si="10"/>
        <v>2.2980954786943837</v>
      </c>
    </row>
    <row r="138" spans="1:8" x14ac:dyDescent="0.25">
      <c r="A138" s="164">
        <v>42978</v>
      </c>
      <c r="B138" s="167">
        <v>3507</v>
      </c>
      <c r="C138" s="167">
        <v>38982</v>
      </c>
      <c r="D138" s="167">
        <v>1104</v>
      </c>
      <c r="E138" s="167">
        <f t="shared" si="9"/>
        <v>0.31464530892448511</v>
      </c>
      <c r="F138" s="167">
        <f t="shared" si="9"/>
        <v>0.53125644728698163</v>
      </c>
      <c r="G138" s="167">
        <f t="shared" si="9"/>
        <v>1.0064043915827996</v>
      </c>
      <c r="H138" s="167">
        <f t="shared" si="10"/>
        <v>0.37143302599832884</v>
      </c>
    </row>
    <row r="139" spans="1:8" x14ac:dyDescent="0.25">
      <c r="A139" s="164">
        <v>43007</v>
      </c>
      <c r="B139" s="167">
        <v>3553</v>
      </c>
      <c r="C139" s="167">
        <v>39061</v>
      </c>
      <c r="D139" s="167">
        <v>1114</v>
      </c>
      <c r="E139" s="167">
        <f t="shared" si="9"/>
        <v>1.3116623895067008</v>
      </c>
      <c r="F139" s="167">
        <f t="shared" si="9"/>
        <v>0.20265763685803703</v>
      </c>
      <c r="G139" s="167">
        <f t="shared" si="9"/>
        <v>0.90579710144927539</v>
      </c>
      <c r="H139" s="167">
        <f t="shared" si="10"/>
        <v>1.0209209019731569</v>
      </c>
    </row>
    <row r="140" spans="1:8" x14ac:dyDescent="0.25">
      <c r="A140" s="164">
        <v>43039</v>
      </c>
      <c r="B140" s="167">
        <v>3625</v>
      </c>
      <c r="C140" s="167">
        <v>41193</v>
      </c>
      <c r="D140" s="167">
        <v>1082</v>
      </c>
      <c r="E140" s="167">
        <f t="shared" si="9"/>
        <v>2.0264565156206023</v>
      </c>
      <c r="F140" s="167">
        <f t="shared" si="9"/>
        <v>5.4581295921763395</v>
      </c>
      <c r="G140" s="167">
        <f t="shared" si="9"/>
        <v>-2.8725314183123878</v>
      </c>
      <c r="H140" s="167">
        <f t="shared" si="10"/>
        <v>2.9261188212994558</v>
      </c>
    </row>
    <row r="141" spans="1:8" x14ac:dyDescent="0.25">
      <c r="A141" s="164">
        <v>43069</v>
      </c>
      <c r="B141" s="167">
        <v>3627</v>
      </c>
      <c r="C141" s="167">
        <v>41862</v>
      </c>
      <c r="D141" s="167">
        <v>1078</v>
      </c>
      <c r="E141" s="167">
        <f t="shared" si="9"/>
        <v>5.5172413793103448E-2</v>
      </c>
      <c r="F141" s="167">
        <f t="shared" si="9"/>
        <v>1.6240623406889521</v>
      </c>
      <c r="G141" s="167">
        <f t="shared" si="9"/>
        <v>-0.36968576709796674</v>
      </c>
      <c r="H141" s="167">
        <f t="shared" si="10"/>
        <v>0.46647940043356984</v>
      </c>
    </row>
    <row r="142" spans="1:8" x14ac:dyDescent="0.25">
      <c r="A142" s="164">
        <v>43098</v>
      </c>
      <c r="B142" s="167">
        <v>3590</v>
      </c>
      <c r="C142" s="167">
        <v>41430</v>
      </c>
      <c r="D142" s="167">
        <v>1125</v>
      </c>
      <c r="E142" s="167">
        <f t="shared" si="9"/>
        <v>-1.0201268265784396</v>
      </c>
      <c r="F142" s="167">
        <f t="shared" si="9"/>
        <v>-1.0319621613874157</v>
      </c>
      <c r="G142" s="167">
        <f t="shared" si="9"/>
        <v>4.3599257884972173</v>
      </c>
      <c r="H142" s="167">
        <f t="shared" si="10"/>
        <v>-1.0232296349823311</v>
      </c>
    </row>
    <row r="143" spans="1:8" x14ac:dyDescent="0.25">
      <c r="A143" s="164">
        <v>43131</v>
      </c>
      <c r="B143" s="167">
        <v>3596</v>
      </c>
      <c r="C143" s="167">
        <v>41494</v>
      </c>
      <c r="D143" s="167">
        <v>1120</v>
      </c>
      <c r="E143" s="167">
        <f t="shared" si="9"/>
        <v>0.16713091922005571</v>
      </c>
      <c r="F143" s="167">
        <f t="shared" si="9"/>
        <v>0.1544774318126961</v>
      </c>
      <c r="G143" s="167">
        <f t="shared" si="9"/>
        <v>-0.44444444444444442</v>
      </c>
      <c r="H143" s="167">
        <f t="shared" si="10"/>
        <v>0.16381362702806959</v>
      </c>
    </row>
    <row r="144" spans="1:8" x14ac:dyDescent="0.25">
      <c r="A144" s="164">
        <v>43159</v>
      </c>
      <c r="B144" s="167">
        <v>3579</v>
      </c>
      <c r="C144" s="167">
        <v>40749</v>
      </c>
      <c r="D144" s="167">
        <v>1155</v>
      </c>
      <c r="E144" s="167">
        <f t="shared" si="9"/>
        <v>-0.4727474972191324</v>
      </c>
      <c r="F144" s="167">
        <f t="shared" si="9"/>
        <v>-1.795440304622355</v>
      </c>
      <c r="G144" s="167">
        <f t="shared" si="9"/>
        <v>3.125</v>
      </c>
      <c r="H144" s="167">
        <f t="shared" si="10"/>
        <v>-0.81951038177858315</v>
      </c>
    </row>
    <row r="145" spans="1:8" x14ac:dyDescent="0.25">
      <c r="A145" s="164">
        <v>43188</v>
      </c>
      <c r="B145" s="167">
        <v>3552</v>
      </c>
      <c r="C145" s="167">
        <v>39287</v>
      </c>
      <c r="D145" s="167">
        <v>1173</v>
      </c>
      <c r="E145" s="167">
        <f t="shared" si="9"/>
        <v>-0.7544006705783739</v>
      </c>
      <c r="F145" s="167">
        <f t="shared" si="9"/>
        <v>-3.5878181059657908</v>
      </c>
      <c r="G145" s="167">
        <f t="shared" si="9"/>
        <v>1.5584415584415585</v>
      </c>
      <c r="H145" s="167">
        <f t="shared" si="10"/>
        <v>-1.49722167606398</v>
      </c>
    </row>
    <row r="146" spans="1:8" x14ac:dyDescent="0.25">
      <c r="A146" s="164">
        <v>43220</v>
      </c>
      <c r="B146" s="167">
        <v>3626</v>
      </c>
      <c r="C146" s="167">
        <v>41053</v>
      </c>
      <c r="D146" s="167">
        <v>1151</v>
      </c>
      <c r="E146" s="167">
        <f t="shared" si="9"/>
        <v>2.0833333333333335</v>
      </c>
      <c r="F146" s="167">
        <f t="shared" si="9"/>
        <v>4.4951256140708118</v>
      </c>
      <c r="G146" s="167">
        <f t="shared" si="9"/>
        <v>-1.8755328218243819</v>
      </c>
      <c r="H146" s="167">
        <f t="shared" si="10"/>
        <v>2.7156192674421811</v>
      </c>
    </row>
    <row r="147" spans="1:8" x14ac:dyDescent="0.25">
      <c r="A147" s="164">
        <v>43251</v>
      </c>
      <c r="B147" s="167">
        <v>3582</v>
      </c>
      <c r="C147" s="167">
        <v>39925</v>
      </c>
      <c r="D147" s="167">
        <v>1146</v>
      </c>
      <c r="E147" s="167">
        <f t="shared" si="9"/>
        <v>-1.2134583563154993</v>
      </c>
      <c r="F147" s="167">
        <f t="shared" si="9"/>
        <v>-2.7476676491364822</v>
      </c>
      <c r="G147" s="167">
        <f t="shared" si="9"/>
        <v>-0.43440486533449174</v>
      </c>
      <c r="H147" s="167">
        <f t="shared" si="10"/>
        <v>-1.6156733240257122</v>
      </c>
    </row>
    <row r="148" spans="1:8" x14ac:dyDescent="0.25">
      <c r="A148" s="164">
        <v>43280</v>
      </c>
      <c r="B148" s="167">
        <v>3700</v>
      </c>
      <c r="C148" s="167">
        <v>41092</v>
      </c>
      <c r="D148" s="167">
        <v>1138</v>
      </c>
      <c r="E148" s="167">
        <f t="shared" si="9"/>
        <v>3.294249022892239</v>
      </c>
      <c r="F148" s="167">
        <f t="shared" si="9"/>
        <v>2.922980588603632</v>
      </c>
      <c r="G148" s="167">
        <f t="shared" si="9"/>
        <v>-0.69808027923211169</v>
      </c>
      <c r="H148" s="167">
        <f t="shared" si="10"/>
        <v>3.1969156986840899</v>
      </c>
    </row>
    <row r="149" spans="1:8" x14ac:dyDescent="0.25">
      <c r="A149" s="164">
        <v>43312</v>
      </c>
      <c r="B149" s="167">
        <v>3627</v>
      </c>
      <c r="C149" s="167">
        <v>41100</v>
      </c>
      <c r="D149" s="167">
        <v>1138</v>
      </c>
      <c r="E149" s="167">
        <f t="shared" si="9"/>
        <v>-1.972972972972973</v>
      </c>
      <c r="F149" s="167">
        <f t="shared" si="9"/>
        <v>1.9468509685583568E-2</v>
      </c>
      <c r="G149" s="167">
        <f t="shared" si="9"/>
        <v>0</v>
      </c>
      <c r="H149" s="167">
        <f t="shared" si="10"/>
        <v>-1.4506258852000047</v>
      </c>
    </row>
    <row r="150" spans="1:8" x14ac:dyDescent="0.25">
      <c r="A150" s="164">
        <v>43343</v>
      </c>
      <c r="B150" s="167">
        <v>3763</v>
      </c>
      <c r="C150" s="167">
        <v>42566</v>
      </c>
      <c r="D150" s="167">
        <v>1120</v>
      </c>
      <c r="E150" s="167">
        <f t="shared" si="9"/>
        <v>3.7496553625585882</v>
      </c>
      <c r="F150" s="167">
        <f t="shared" si="9"/>
        <v>3.5669099756690996</v>
      </c>
      <c r="G150" s="167">
        <f t="shared" si="9"/>
        <v>-1.5817223198594024</v>
      </c>
      <c r="H150" s="167">
        <f t="shared" si="10"/>
        <v>3.7017460604881878</v>
      </c>
    </row>
    <row r="151" spans="1:8" x14ac:dyDescent="0.25">
      <c r="A151" s="164">
        <v>43371</v>
      </c>
      <c r="B151" s="167">
        <v>3712</v>
      </c>
      <c r="C151" s="167">
        <v>41329</v>
      </c>
      <c r="D151" s="167">
        <v>1127</v>
      </c>
      <c r="E151" s="167">
        <f t="shared" si="9"/>
        <v>-1.355301621047037</v>
      </c>
      <c r="F151" s="167">
        <f t="shared" si="9"/>
        <v>-2.9060752713433256</v>
      </c>
      <c r="G151" s="167">
        <f t="shared" si="9"/>
        <v>0.625</v>
      </c>
      <c r="H151" s="167">
        <f t="shared" si="10"/>
        <v>-1.7618591733340114</v>
      </c>
    </row>
    <row r="152" spans="1:8" x14ac:dyDescent="0.25">
      <c r="A152" s="164">
        <v>43404</v>
      </c>
      <c r="B152" s="167">
        <v>3631</v>
      </c>
      <c r="C152" s="167">
        <v>39329</v>
      </c>
      <c r="D152" s="167">
        <v>1091</v>
      </c>
      <c r="E152" s="167">
        <f t="shared" si="9"/>
        <v>-2.1821120689655173</v>
      </c>
      <c r="F152" s="167">
        <f t="shared" si="9"/>
        <v>-4.8392170146870237</v>
      </c>
      <c r="G152" s="167">
        <f t="shared" si="9"/>
        <v>-3.1943212067435671</v>
      </c>
      <c r="H152" s="167">
        <f t="shared" si="10"/>
        <v>-2.8787102356161069</v>
      </c>
    </row>
    <row r="153" spans="1:8" x14ac:dyDescent="0.25">
      <c r="A153" s="164">
        <v>43434</v>
      </c>
      <c r="B153" s="167">
        <v>3514</v>
      </c>
      <c r="C153" s="167">
        <v>37660</v>
      </c>
      <c r="D153" s="167">
        <v>1127</v>
      </c>
      <c r="E153" s="167">
        <f t="shared" si="9"/>
        <v>-3.2222528229137977</v>
      </c>
      <c r="F153" s="167">
        <f t="shared" si="9"/>
        <v>-4.2436878639172111</v>
      </c>
      <c r="G153" s="167">
        <f t="shared" si="9"/>
        <v>3.2997250229147572</v>
      </c>
      <c r="H153" s="167">
        <f t="shared" si="10"/>
        <v>-3.4900366804936773</v>
      </c>
    </row>
    <row r="154" spans="1:8" x14ac:dyDescent="0.25">
      <c r="A154" s="164">
        <v>43465</v>
      </c>
      <c r="B154" s="167">
        <v>3569</v>
      </c>
      <c r="C154" s="167">
        <v>37906</v>
      </c>
      <c r="D154" s="167">
        <v>1134</v>
      </c>
      <c r="E154" s="167">
        <f t="shared" si="9"/>
        <v>1.5651678998292544</v>
      </c>
      <c r="F154" s="167">
        <f t="shared" si="9"/>
        <v>0.65321295804567181</v>
      </c>
      <c r="G154" s="167">
        <f t="shared" si="9"/>
        <v>0.6211180124223602</v>
      </c>
      <c r="H154" s="167">
        <f t="shared" si="10"/>
        <v>1.3260858465878682</v>
      </c>
    </row>
    <row r="155" spans="1:8" x14ac:dyDescent="0.25">
      <c r="A155" s="164">
        <v>43496</v>
      </c>
      <c r="B155" s="167">
        <v>3528</v>
      </c>
      <c r="C155" s="167">
        <v>37952</v>
      </c>
      <c r="D155" s="167">
        <v>1136</v>
      </c>
      <c r="E155" s="167">
        <f t="shared" si="9"/>
        <v>-1.1487811711964135</v>
      </c>
      <c r="F155" s="167">
        <f t="shared" si="9"/>
        <v>0.12135282013401573</v>
      </c>
      <c r="G155" s="167">
        <f t="shared" si="9"/>
        <v>0.17636684303350969</v>
      </c>
      <c r="H155" s="167">
        <f t="shared" si="10"/>
        <v>-0.8157973428420221</v>
      </c>
    </row>
    <row r="156" spans="1:8" x14ac:dyDescent="0.25">
      <c r="A156" s="164">
        <v>43524</v>
      </c>
      <c r="B156" s="167">
        <v>3617</v>
      </c>
      <c r="C156" s="167">
        <v>39151</v>
      </c>
      <c r="D156" s="167">
        <v>1136</v>
      </c>
      <c r="E156" s="167">
        <f t="shared" si="9"/>
        <v>2.5226757369614514</v>
      </c>
      <c r="F156" s="167">
        <f t="shared" si="9"/>
        <v>3.159253794266442</v>
      </c>
      <c r="G156" s="167">
        <f t="shared" si="9"/>
        <v>0</v>
      </c>
      <c r="H156" s="167">
        <f t="shared" si="10"/>
        <v>2.6895638149440435</v>
      </c>
    </row>
    <row r="157" spans="1:8" x14ac:dyDescent="0.25">
      <c r="A157" s="164">
        <v>43553</v>
      </c>
      <c r="B157" s="167">
        <v>3678</v>
      </c>
      <c r="C157" s="167">
        <v>39967</v>
      </c>
      <c r="D157" s="167">
        <v>1145</v>
      </c>
      <c r="E157" s="167">
        <f t="shared" si="9"/>
        <v>1.6864805087088748</v>
      </c>
      <c r="F157" s="167">
        <f t="shared" si="9"/>
        <v>2.0842379504993485</v>
      </c>
      <c r="G157" s="167">
        <f t="shared" si="9"/>
        <v>0.79225352112676062</v>
      </c>
      <c r="H157" s="167">
        <f t="shared" si="10"/>
        <v>1.7907583338626405</v>
      </c>
    </row>
    <row r="158" spans="1:8" x14ac:dyDescent="0.25">
      <c r="A158" s="164">
        <v>43585</v>
      </c>
      <c r="B158" s="167">
        <v>3693</v>
      </c>
      <c r="C158" s="167">
        <v>41332</v>
      </c>
      <c r="D158" s="167">
        <v>1135</v>
      </c>
      <c r="E158" s="167">
        <f t="shared" si="9"/>
        <v>0.40783034257748779</v>
      </c>
      <c r="F158" s="167">
        <f t="shared" si="9"/>
        <v>3.4153176370505669</v>
      </c>
      <c r="G158" s="167">
        <f t="shared" si="9"/>
        <v>-0.8733624454148472</v>
      </c>
      <c r="H158" s="167">
        <f t="shared" si="10"/>
        <v>1.1962862551914895</v>
      </c>
    </row>
    <row r="159" spans="1:8" x14ac:dyDescent="0.25">
      <c r="A159" s="164">
        <v>43616</v>
      </c>
      <c r="B159" s="167">
        <v>3590</v>
      </c>
      <c r="C159" s="167">
        <v>38164</v>
      </c>
      <c r="D159" s="167">
        <v>1142</v>
      </c>
      <c r="E159" s="167">
        <f t="shared" si="9"/>
        <v>-2.7890603845112376</v>
      </c>
      <c r="F159" s="167">
        <f t="shared" si="9"/>
        <v>-7.6647633794638539</v>
      </c>
      <c r="G159" s="167">
        <f t="shared" si="9"/>
        <v>0.61674008810572689</v>
      </c>
      <c r="H159" s="167">
        <f t="shared" si="10"/>
        <v>-4.0672958395377696</v>
      </c>
    </row>
    <row r="160" spans="1:8" ht="15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</sheetData>
  <mergeCells count="1">
    <mergeCell ref="Q21:R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6.1</vt:lpstr>
      <vt:lpstr>Table 6.2</vt:lpstr>
      <vt:lpstr>Table 6.7</vt:lpstr>
      <vt:lpstr>Table 6.9</vt:lpstr>
      <vt:lpstr>Table  6.13</vt:lpstr>
      <vt:lpstr>Table 6.14</vt:lpstr>
      <vt:lpstr>Table  6.16</vt:lpstr>
      <vt:lpstr>Table  6.17</vt:lpstr>
      <vt:lpstr>Table  6.18</vt:lpstr>
      <vt:lpstr>Example 6.23</vt:lpstr>
      <vt:lpstr>EFFICIENT FRONTIER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Sarpong</dc:creator>
  <cp:lastModifiedBy>Prince Sarpong</cp:lastModifiedBy>
  <dcterms:created xsi:type="dcterms:W3CDTF">2015-06-05T18:17:20Z</dcterms:created>
  <dcterms:modified xsi:type="dcterms:W3CDTF">2020-02-24T03:02:59Z</dcterms:modified>
</cp:coreProperties>
</file>